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6.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7.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8.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mc:AlternateContent xmlns:mc="http://schemas.openxmlformats.org/markup-compatibility/2006">
    <mc:Choice Requires="x15">
      <x15ac:absPath xmlns:x15ac="http://schemas.microsoft.com/office/spreadsheetml/2010/11/ac" url="C:\Users\Klarien\Klarien\Toekomstboeren\"/>
    </mc:Choice>
  </mc:AlternateContent>
  <xr:revisionPtr revIDLastSave="0" documentId="8_{8B9ACE70-FB68-47A3-9412-3D06D5CD7441}" xr6:coauthVersionLast="47" xr6:coauthVersionMax="47" xr10:uidLastSave="{00000000-0000-0000-0000-000000000000}"/>
  <bookViews>
    <workbookView xWindow="-120" yWindow="-120" windowWidth="20730" windowHeight="11160" firstSheet="3" activeTab="3" xr2:uid="{00000000-000D-0000-FFFF-FFFF00000000}"/>
  </bookViews>
  <sheets>
    <sheet name="Nitrogen export" sheetId="9" r:id="rId1"/>
    <sheet name="Nitrogen import" sheetId="10" r:id="rId2"/>
    <sheet name="Nitrogen balance" sheetId="11" r:id="rId3"/>
    <sheet name="5ha farm scenario 1" sheetId="12" r:id="rId4"/>
    <sheet name="5ha farm scenario 2 at year 1" sheetId="15" r:id="rId5"/>
    <sheet name="5ha farm scenario 2 at year 10" sheetId="16" r:id="rId6"/>
    <sheet name="5ha farm scenario 3 at year 10" sheetId="17" r:id="rId7"/>
    <sheet name="Soil nitrate" sheetId="13" r:id="rId8"/>
    <sheet name="5ha farm scenario copy safety" sheetId="14" r:id="rId9"/>
  </sheets>
  <calcPr calcId="191028"/>
  <customWorkbookViews>
    <customWorkbookView name="Filter 1" guid="{3A8E378F-612A-47CF-806F-B1841780FB63}"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18" roundtripDataSignature="AMtx7mj9Aag/WO73RLa7q/COZ03WyZosXA=="/>
    </ext>
  </extLst>
</workbook>
</file>

<file path=xl/calcChain.xml><?xml version="1.0" encoding="utf-8"?>
<calcChain xmlns="http://schemas.openxmlformats.org/spreadsheetml/2006/main">
  <c r="H23" i="17" l="1"/>
  <c r="H14" i="17"/>
  <c r="I20" i="17"/>
  <c r="N16" i="17"/>
  <c r="N18" i="17"/>
  <c r="N17" i="17"/>
  <c r="N63" i="17"/>
  <c r="Q60" i="17"/>
  <c r="P60" i="17"/>
  <c r="O60" i="17"/>
  <c r="N60" i="17"/>
  <c r="Q59" i="17"/>
  <c r="P59" i="17"/>
  <c r="O59" i="17"/>
  <c r="N59" i="17"/>
  <c r="Q58" i="17"/>
  <c r="P58" i="17"/>
  <c r="O58" i="17"/>
  <c r="N58" i="17"/>
  <c r="Q57" i="17"/>
  <c r="P57" i="17"/>
  <c r="O57" i="17"/>
  <c r="N57" i="17"/>
  <c r="Q56" i="17"/>
  <c r="P56" i="17"/>
  <c r="O56" i="17"/>
  <c r="N56" i="17"/>
  <c r="Q55" i="17"/>
  <c r="P55" i="17"/>
  <c r="O55" i="17"/>
  <c r="N55" i="17"/>
  <c r="Q54" i="17"/>
  <c r="P54" i="17"/>
  <c r="O54" i="17"/>
  <c r="T54" i="17" s="1"/>
  <c r="Q53" i="17"/>
  <c r="P53" i="17"/>
  <c r="O53" i="17"/>
  <c r="N53" i="17"/>
  <c r="Q52" i="17"/>
  <c r="P52" i="17"/>
  <c r="E41" i="17"/>
  <c r="E40" i="17"/>
  <c r="E39" i="17"/>
  <c r="C30" i="17"/>
  <c r="C27" i="17"/>
  <c r="C31" i="17" s="1"/>
  <c r="C32" i="17" s="1"/>
  <c r="C34" i="17" s="1"/>
  <c r="C26" i="17"/>
  <c r="C23" i="17"/>
  <c r="C21" i="17"/>
  <c r="F20" i="17"/>
  <c r="H20" i="17" s="1"/>
  <c r="G19" i="17"/>
  <c r="F19" i="17"/>
  <c r="H19" i="17" s="1"/>
  <c r="G18" i="17"/>
  <c r="F18" i="17"/>
  <c r="H18" i="17" s="1"/>
  <c r="G17" i="17"/>
  <c r="F17" i="17"/>
  <c r="H17" i="17" s="1"/>
  <c r="I18" i="17" s="1"/>
  <c r="G16" i="17"/>
  <c r="H16" i="17" s="1"/>
  <c r="H21" i="17"/>
  <c r="G14" i="17"/>
  <c r="C11" i="17"/>
  <c r="H10" i="17"/>
  <c r="F9" i="17"/>
  <c r="H9" i="17" s="1"/>
  <c r="J8" i="17"/>
  <c r="F8" i="17"/>
  <c r="H8" i="17" s="1"/>
  <c r="H7" i="17"/>
  <c r="F6" i="17"/>
  <c r="H6" i="17" s="1"/>
  <c r="H5" i="17"/>
  <c r="G4" i="17"/>
  <c r="F4" i="17"/>
  <c r="F18" i="16"/>
  <c r="I4" i="16"/>
  <c r="E41" i="16"/>
  <c r="F4" i="16"/>
  <c r="H7" i="12"/>
  <c r="F7" i="12"/>
  <c r="N8" i="12"/>
  <c r="N7" i="12"/>
  <c r="N6" i="12"/>
  <c r="N5" i="12"/>
  <c r="J33" i="12"/>
  <c r="C32" i="12"/>
  <c r="J31" i="12"/>
  <c r="C31" i="12"/>
  <c r="C26" i="12"/>
  <c r="N9" i="12"/>
  <c r="N10" i="12" s="1"/>
  <c r="H14" i="15"/>
  <c r="F9" i="16"/>
  <c r="F8" i="16"/>
  <c r="E6" i="13"/>
  <c r="E7" i="13"/>
  <c r="F7" i="13" s="1"/>
  <c r="G7" i="13" s="1"/>
  <c r="E8" i="13"/>
  <c r="F9" i="13" s="1"/>
  <c r="G9" i="13" s="1"/>
  <c r="E9" i="13"/>
  <c r="E10" i="13"/>
  <c r="E11" i="13"/>
  <c r="F11" i="13" s="1"/>
  <c r="G11" i="13" s="1"/>
  <c r="E4" i="13"/>
  <c r="F5" i="13" s="1"/>
  <c r="G5" i="13" s="1"/>
  <c r="C5" i="13"/>
  <c r="E5" i="13" s="1"/>
  <c r="N63" i="16"/>
  <c r="P52" i="16"/>
  <c r="Q52" i="16"/>
  <c r="N53" i="16"/>
  <c r="O53" i="16"/>
  <c r="T53" i="16" s="1"/>
  <c r="P53" i="16"/>
  <c r="Q53" i="16"/>
  <c r="R53" i="16" s="1"/>
  <c r="S53" i="16" s="1"/>
  <c r="O54" i="16"/>
  <c r="T54" i="16" s="1"/>
  <c r="P54" i="16"/>
  <c r="R54" i="16" s="1"/>
  <c r="S54" i="16" s="1"/>
  <c r="Q54" i="16"/>
  <c r="N55" i="16"/>
  <c r="O55" i="16"/>
  <c r="P55" i="16"/>
  <c r="R55" i="16" s="1"/>
  <c r="S55" i="16" s="1"/>
  <c r="Q55" i="16"/>
  <c r="T55" i="16"/>
  <c r="N56" i="16"/>
  <c r="O56" i="16"/>
  <c r="T56" i="16" s="1"/>
  <c r="P56" i="16"/>
  <c r="Q56" i="16"/>
  <c r="R56" i="16" s="1"/>
  <c r="S56" i="16" s="1"/>
  <c r="N57" i="16"/>
  <c r="T57" i="16" s="1"/>
  <c r="O57" i="16"/>
  <c r="P57" i="16"/>
  <c r="Q57" i="16"/>
  <c r="R57" i="16"/>
  <c r="S57" i="16" s="1"/>
  <c r="N58" i="16"/>
  <c r="O58" i="16"/>
  <c r="T58" i="16" s="1"/>
  <c r="P58" i="16"/>
  <c r="Q58" i="16"/>
  <c r="R58" i="16" s="1"/>
  <c r="S58" i="16" s="1"/>
  <c r="N59" i="16"/>
  <c r="O59" i="16"/>
  <c r="P59" i="16"/>
  <c r="R59" i="16" s="1"/>
  <c r="S59" i="16" s="1"/>
  <c r="Q59" i="16"/>
  <c r="T59" i="16"/>
  <c r="N60" i="16"/>
  <c r="O60" i="16"/>
  <c r="T60" i="16" s="1"/>
  <c r="P60" i="16"/>
  <c r="Q60" i="16"/>
  <c r="R60" i="16" s="1"/>
  <c r="S60" i="16" s="1"/>
  <c r="C26" i="16"/>
  <c r="C27" i="16"/>
  <c r="C30" i="16"/>
  <c r="C31" i="16" s="1"/>
  <c r="C32" i="16" s="1"/>
  <c r="E39" i="16"/>
  <c r="E40" i="16"/>
  <c r="C23" i="16"/>
  <c r="G14" i="16"/>
  <c r="G16" i="16"/>
  <c r="H16" i="16" s="1"/>
  <c r="F17" i="16"/>
  <c r="H17" i="16" s="1"/>
  <c r="G17" i="16"/>
  <c r="G18" i="16"/>
  <c r="H18" i="16" s="1"/>
  <c r="F19" i="16"/>
  <c r="G19" i="16"/>
  <c r="H19" i="16" s="1"/>
  <c r="F20" i="16"/>
  <c r="H20" i="16"/>
  <c r="C21" i="16"/>
  <c r="G4" i="16"/>
  <c r="H5" i="16"/>
  <c r="F6" i="16"/>
  <c r="H6" i="16"/>
  <c r="H7" i="16"/>
  <c r="H8" i="16"/>
  <c r="J8" i="16"/>
  <c r="H9" i="16"/>
  <c r="H10" i="16"/>
  <c r="C11" i="16"/>
  <c r="N63" i="15"/>
  <c r="O63" i="15" s="1"/>
  <c r="P52" i="15"/>
  <c r="Q52" i="15"/>
  <c r="N53" i="15"/>
  <c r="O53" i="15"/>
  <c r="P53" i="15"/>
  <c r="R53" i="15" s="1"/>
  <c r="S53" i="15" s="1"/>
  <c r="Q53" i="15"/>
  <c r="T53" i="15"/>
  <c r="O54" i="15"/>
  <c r="T54" i="15" s="1"/>
  <c r="P54" i="15"/>
  <c r="Q54" i="15"/>
  <c r="N55" i="15"/>
  <c r="O55" i="15"/>
  <c r="P55" i="15"/>
  <c r="R55" i="15" s="1"/>
  <c r="S55" i="15" s="1"/>
  <c r="Q55" i="15"/>
  <c r="T55" i="15"/>
  <c r="N56" i="15"/>
  <c r="O56" i="15"/>
  <c r="P56" i="15"/>
  <c r="R56" i="15" s="1"/>
  <c r="S56" i="15" s="1"/>
  <c r="Q56" i="15"/>
  <c r="T56" i="15"/>
  <c r="N57" i="15"/>
  <c r="T57" i="15" s="1"/>
  <c r="O57" i="15"/>
  <c r="P57" i="15"/>
  <c r="Q57" i="15"/>
  <c r="N58" i="15"/>
  <c r="T58" i="15" s="1"/>
  <c r="O58" i="15"/>
  <c r="R58" i="15" s="1"/>
  <c r="S58" i="15" s="1"/>
  <c r="P58" i="15"/>
  <c r="Q58" i="15"/>
  <c r="N59" i="15"/>
  <c r="O59" i="15"/>
  <c r="P59" i="15"/>
  <c r="R59" i="15" s="1"/>
  <c r="S59" i="15" s="1"/>
  <c r="Q59" i="15"/>
  <c r="T59" i="15"/>
  <c r="N60" i="15"/>
  <c r="O60" i="15"/>
  <c r="P60" i="15"/>
  <c r="R60" i="15" s="1"/>
  <c r="S60" i="15" s="1"/>
  <c r="Q60" i="15"/>
  <c r="T60" i="15"/>
  <c r="C26" i="15"/>
  <c r="C27" i="15"/>
  <c r="C30" i="15"/>
  <c r="C31" i="15"/>
  <c r="C32" i="15"/>
  <c r="C34" i="15" s="1"/>
  <c r="E39" i="15"/>
  <c r="E40" i="15"/>
  <c r="E41" i="15"/>
  <c r="C23" i="15"/>
  <c r="G14" i="15"/>
  <c r="G16" i="15"/>
  <c r="H16" i="15"/>
  <c r="F17" i="15"/>
  <c r="H17" i="15" s="1"/>
  <c r="G17" i="15"/>
  <c r="F18" i="15"/>
  <c r="G18" i="15"/>
  <c r="F19" i="15"/>
  <c r="G19" i="15"/>
  <c r="H19" i="15" s="1"/>
  <c r="F20" i="15"/>
  <c r="H20" i="15" s="1"/>
  <c r="C21" i="15"/>
  <c r="G4" i="15"/>
  <c r="H4" i="15"/>
  <c r="H5" i="15"/>
  <c r="F6" i="15"/>
  <c r="H6" i="15" s="1"/>
  <c r="H7" i="15"/>
  <c r="F8" i="15"/>
  <c r="H8" i="15" s="1"/>
  <c r="J8" i="15"/>
  <c r="F9" i="15"/>
  <c r="H9" i="15" s="1"/>
  <c r="H10" i="15"/>
  <c r="C11" i="15"/>
  <c r="C21" i="12"/>
  <c r="C23" i="12"/>
  <c r="H10" i="12"/>
  <c r="C11" i="12"/>
  <c r="N63" i="14"/>
  <c r="O63" i="14" s="1"/>
  <c r="P52" i="14"/>
  <c r="Q52" i="14"/>
  <c r="N53" i="14"/>
  <c r="O53" i="14"/>
  <c r="P53" i="14"/>
  <c r="R53" i="14" s="1"/>
  <c r="S53" i="14" s="1"/>
  <c r="Q53" i="14"/>
  <c r="T53" i="14"/>
  <c r="O54" i="14"/>
  <c r="T54" i="14" s="1"/>
  <c r="P54" i="14"/>
  <c r="Q54" i="14"/>
  <c r="N55" i="14"/>
  <c r="O55" i="14"/>
  <c r="P55" i="14"/>
  <c r="R55" i="14" s="1"/>
  <c r="S55" i="14" s="1"/>
  <c r="Q55" i="14"/>
  <c r="T55" i="14"/>
  <c r="N56" i="14"/>
  <c r="O56" i="14"/>
  <c r="P56" i="14"/>
  <c r="R56" i="14" s="1"/>
  <c r="S56" i="14" s="1"/>
  <c r="Q56" i="14"/>
  <c r="T56" i="14"/>
  <c r="N57" i="14"/>
  <c r="T57" i="14" s="1"/>
  <c r="O57" i="14"/>
  <c r="P57" i="14"/>
  <c r="Q57" i="14"/>
  <c r="R57" i="14"/>
  <c r="S57" i="14" s="1"/>
  <c r="N58" i="14"/>
  <c r="T58" i="14" s="1"/>
  <c r="O58" i="14"/>
  <c r="P58" i="14"/>
  <c r="Q58" i="14"/>
  <c r="N59" i="14"/>
  <c r="O59" i="14"/>
  <c r="P59" i="14"/>
  <c r="R59" i="14" s="1"/>
  <c r="S59" i="14" s="1"/>
  <c r="Q59" i="14"/>
  <c r="T59" i="14"/>
  <c r="N60" i="14"/>
  <c r="O60" i="14"/>
  <c r="P60" i="14"/>
  <c r="R60" i="14" s="1"/>
  <c r="S60" i="14" s="1"/>
  <c r="Q60" i="14"/>
  <c r="T60" i="14"/>
  <c r="C26" i="14"/>
  <c r="C27" i="14"/>
  <c r="C30" i="14"/>
  <c r="C31" i="14"/>
  <c r="C32" i="14"/>
  <c r="C34" i="14" s="1"/>
  <c r="E39" i="14"/>
  <c r="E40" i="14"/>
  <c r="E41" i="14"/>
  <c r="C23" i="14"/>
  <c r="G14" i="14"/>
  <c r="H14" i="14"/>
  <c r="G16" i="14"/>
  <c r="H16" i="14" s="1"/>
  <c r="F17" i="14"/>
  <c r="H17" i="14" s="1"/>
  <c r="G17" i="14"/>
  <c r="F18" i="14"/>
  <c r="G18" i="14"/>
  <c r="H18" i="14"/>
  <c r="F19" i="14"/>
  <c r="G19" i="14"/>
  <c r="H19" i="14"/>
  <c r="F20" i="14"/>
  <c r="H20" i="14" s="1"/>
  <c r="C21" i="14"/>
  <c r="F4" i="14"/>
  <c r="H4" i="14" s="1"/>
  <c r="H10" i="14" s="1"/>
  <c r="G4" i="14"/>
  <c r="H5" i="14"/>
  <c r="F6" i="14"/>
  <c r="H6" i="14" s="1"/>
  <c r="F7" i="14"/>
  <c r="H7" i="14"/>
  <c r="F8" i="14"/>
  <c r="H8" i="14" s="1"/>
  <c r="F9" i="14"/>
  <c r="H9" i="14"/>
  <c r="C10" i="14"/>
  <c r="H11" i="14"/>
  <c r="J8" i="14" s="1"/>
  <c r="H20" i="12"/>
  <c r="F20" i="12"/>
  <c r="F18" i="12"/>
  <c r="F17" i="12"/>
  <c r="H5" i="12"/>
  <c r="F6" i="12"/>
  <c r="H6" i="12" s="1"/>
  <c r="H17" i="12"/>
  <c r="F19" i="12"/>
  <c r="G19" i="12"/>
  <c r="H19" i="12" s="1"/>
  <c r="G18" i="12"/>
  <c r="H18" i="12" s="1"/>
  <c r="G17" i="12"/>
  <c r="T54" i="12"/>
  <c r="T55" i="12"/>
  <c r="T58" i="12"/>
  <c r="T59" i="12"/>
  <c r="N63" i="12"/>
  <c r="O63" i="12" s="1"/>
  <c r="N53" i="12"/>
  <c r="T53" i="12" s="1"/>
  <c r="Q60" i="12"/>
  <c r="P60" i="12"/>
  <c r="Q59" i="12"/>
  <c r="O60" i="12"/>
  <c r="N60" i="12"/>
  <c r="T60" i="12" s="1"/>
  <c r="R59" i="12"/>
  <c r="S59" i="12" s="1"/>
  <c r="O54" i="12"/>
  <c r="O55" i="12"/>
  <c r="O56" i="12"/>
  <c r="O57" i="12"/>
  <c r="O58" i="12"/>
  <c r="O59" i="12"/>
  <c r="N55" i="12"/>
  <c r="R55" i="12" s="1"/>
  <c r="S55" i="12" s="1"/>
  <c r="N56" i="12"/>
  <c r="T56" i="12" s="1"/>
  <c r="N57" i="12"/>
  <c r="T57" i="12" s="1"/>
  <c r="N58" i="12"/>
  <c r="N59" i="12"/>
  <c r="O53" i="12"/>
  <c r="Q53" i="12"/>
  <c r="Q54" i="12"/>
  <c r="Q55" i="12"/>
  <c r="Q56" i="12"/>
  <c r="Q57" i="12"/>
  <c r="Q58" i="12"/>
  <c r="P53" i="12"/>
  <c r="P54" i="12"/>
  <c r="P55" i="12"/>
  <c r="P56" i="12"/>
  <c r="P57" i="12"/>
  <c r="R57" i="12" s="1"/>
  <c r="S57" i="12" s="1"/>
  <c r="P58" i="12"/>
  <c r="R58" i="12" s="1"/>
  <c r="S58" i="12" s="1"/>
  <c r="P59" i="12"/>
  <c r="P52" i="12"/>
  <c r="Q52" i="12"/>
  <c r="D48" i="9"/>
  <c r="D40" i="9"/>
  <c r="D38" i="9"/>
  <c r="G16" i="12"/>
  <c r="H16" i="12" s="1"/>
  <c r="J48" i="9"/>
  <c r="F9" i="12"/>
  <c r="H9" i="12" s="1"/>
  <c r="F8" i="12"/>
  <c r="H8" i="12" s="1"/>
  <c r="E99" i="10"/>
  <c r="D99" i="10"/>
  <c r="E40" i="12"/>
  <c r="G4" i="12" s="1"/>
  <c r="H4" i="12" s="1"/>
  <c r="E41" i="12"/>
  <c r="E39" i="12"/>
  <c r="F4" i="12" s="1"/>
  <c r="D95" i="10"/>
  <c r="G14" i="12"/>
  <c r="C27" i="12"/>
  <c r="C30" i="12"/>
  <c r="E13" i="11"/>
  <c r="A191" i="9"/>
  <c r="A190" i="9"/>
  <c r="A5" i="10"/>
  <c r="E4" i="11" s="1"/>
  <c r="B181" i="9"/>
  <c r="E159" i="9"/>
  <c r="E158" i="9"/>
  <c r="E95" i="10"/>
  <c r="G94" i="10"/>
  <c r="C127" i="10"/>
  <c r="C128" i="10"/>
  <c r="C129" i="10"/>
  <c r="C130" i="10"/>
  <c r="C131" i="10"/>
  <c r="C132" i="10"/>
  <c r="C133" i="10"/>
  <c r="C134" i="10"/>
  <c r="C135" i="10"/>
  <c r="C123" i="10"/>
  <c r="C124" i="10"/>
  <c r="C125" i="10"/>
  <c r="C126" i="10"/>
  <c r="C122" i="10"/>
  <c r="E96" i="10"/>
  <c r="G96" i="10" s="1"/>
  <c r="E97" i="10"/>
  <c r="G97" i="10" s="1"/>
  <c r="E98" i="10"/>
  <c r="G98" i="10" s="1"/>
  <c r="G99" i="10"/>
  <c r="E100" i="10"/>
  <c r="G100" i="10" s="1"/>
  <c r="E101" i="10"/>
  <c r="G101" i="10" s="1"/>
  <c r="E102" i="10"/>
  <c r="G102" i="10" s="1"/>
  <c r="E103" i="10"/>
  <c r="G103" i="10" s="1"/>
  <c r="E104" i="10"/>
  <c r="G104" i="10" s="1"/>
  <c r="E106" i="10"/>
  <c r="G106" i="10" s="1"/>
  <c r="E107" i="10"/>
  <c r="G107" i="10" s="1"/>
  <c r="E108" i="10"/>
  <c r="G108" i="10" s="1"/>
  <c r="E109" i="10"/>
  <c r="G109" i="10" s="1"/>
  <c r="E110" i="10"/>
  <c r="G110" i="10" s="1"/>
  <c r="G95" i="10"/>
  <c r="D96" i="10"/>
  <c r="F96" i="10" s="1"/>
  <c r="D97" i="10"/>
  <c r="F97" i="10" s="1"/>
  <c r="D131" i="10" s="1"/>
  <c r="D98" i="10"/>
  <c r="F98" i="10" s="1"/>
  <c r="F99" i="10"/>
  <c r="D100" i="10"/>
  <c r="F100" i="10" s="1"/>
  <c r="D101" i="10"/>
  <c r="F101" i="10" s="1"/>
  <c r="D102" i="10"/>
  <c r="F102" i="10" s="1"/>
  <c r="D103" i="10"/>
  <c r="F103" i="10" s="1"/>
  <c r="D104" i="10"/>
  <c r="F104" i="10" s="1"/>
  <c r="D105" i="10"/>
  <c r="F105" i="10" s="1"/>
  <c r="D106" i="10"/>
  <c r="F106" i="10" s="1"/>
  <c r="D107" i="10"/>
  <c r="F107" i="10" s="1"/>
  <c r="D108" i="10"/>
  <c r="F108" i="10" s="1"/>
  <c r="D109" i="10"/>
  <c r="F109" i="10" s="1"/>
  <c r="D110" i="10"/>
  <c r="F110" i="10" s="1"/>
  <c r="D111" i="10"/>
  <c r="F111" i="10" s="1"/>
  <c r="D4" i="9"/>
  <c r="R37" i="9"/>
  <c r="R36" i="9"/>
  <c r="R34" i="9"/>
  <c r="R22" i="9"/>
  <c r="R24" i="9"/>
  <c r="R25" i="9"/>
  <c r="R27" i="9"/>
  <c r="R28" i="9"/>
  <c r="R29" i="9"/>
  <c r="R30" i="9"/>
  <c r="R31" i="9"/>
  <c r="R21" i="9"/>
  <c r="J10" i="9"/>
  <c r="J9" i="9"/>
  <c r="J29" i="9"/>
  <c r="J30" i="9"/>
  <c r="J63" i="9"/>
  <c r="J71" i="9"/>
  <c r="J87" i="9"/>
  <c r="J95" i="9"/>
  <c r="J102" i="9"/>
  <c r="J140" i="9"/>
  <c r="J142" i="9"/>
  <c r="AB57" i="10"/>
  <c r="M89" i="10"/>
  <c r="N72" i="10"/>
  <c r="O72" i="10" s="1"/>
  <c r="N73" i="10"/>
  <c r="O73" i="10" s="1"/>
  <c r="N74" i="10"/>
  <c r="O74" i="10" s="1"/>
  <c r="N75" i="10"/>
  <c r="O75" i="10" s="1"/>
  <c r="N76" i="10"/>
  <c r="O76" i="10" s="1"/>
  <c r="N77" i="10"/>
  <c r="O77" i="10" s="1"/>
  <c r="N78" i="10"/>
  <c r="O78" i="10" s="1"/>
  <c r="N79" i="10"/>
  <c r="O79" i="10" s="1"/>
  <c r="N80" i="10"/>
  <c r="O80" i="10" s="1"/>
  <c r="N81" i="10"/>
  <c r="O81" i="10" s="1"/>
  <c r="N82" i="10"/>
  <c r="O82" i="10" s="1"/>
  <c r="N83" i="10"/>
  <c r="O83" i="10" s="1"/>
  <c r="N84" i="10"/>
  <c r="O84" i="10" s="1"/>
  <c r="N85" i="10"/>
  <c r="O85" i="10" s="1"/>
  <c r="N86" i="10"/>
  <c r="O86" i="10" s="1"/>
  <c r="N87" i="10"/>
  <c r="O87" i="10" s="1"/>
  <c r="N88" i="10"/>
  <c r="O88" i="10" s="1"/>
  <c r="N71" i="10"/>
  <c r="M70" i="10"/>
  <c r="N53" i="10"/>
  <c r="O53" i="10" s="1"/>
  <c r="N54" i="10"/>
  <c r="O54" i="10" s="1"/>
  <c r="N55" i="10"/>
  <c r="O55" i="10" s="1"/>
  <c r="N56" i="10"/>
  <c r="O56" i="10" s="1"/>
  <c r="N57" i="10"/>
  <c r="O57" i="10" s="1"/>
  <c r="N58" i="10"/>
  <c r="O58" i="10" s="1"/>
  <c r="N59" i="10"/>
  <c r="O59" i="10" s="1"/>
  <c r="N60" i="10"/>
  <c r="O60" i="10" s="1"/>
  <c r="N61" i="10"/>
  <c r="O61" i="10" s="1"/>
  <c r="N62" i="10"/>
  <c r="O62" i="10" s="1"/>
  <c r="N63" i="10"/>
  <c r="O63" i="10" s="1"/>
  <c r="N64" i="10"/>
  <c r="O64" i="10" s="1"/>
  <c r="N65" i="10"/>
  <c r="O65" i="10" s="1"/>
  <c r="N66" i="10"/>
  <c r="O66" i="10" s="1"/>
  <c r="N67" i="10"/>
  <c r="O67" i="10" s="1"/>
  <c r="N68" i="10"/>
  <c r="O68" i="10" s="1"/>
  <c r="N69" i="10"/>
  <c r="O69" i="10" s="1"/>
  <c r="N52" i="10"/>
  <c r="B35" i="10"/>
  <c r="B39" i="10" s="1"/>
  <c r="B24" i="10"/>
  <c r="C17" i="10"/>
  <c r="B15" i="10"/>
  <c r="B16" i="10" s="1"/>
  <c r="B17" i="10" s="1"/>
  <c r="B12" i="10"/>
  <c r="D33" i="9"/>
  <c r="J33" i="9" s="1"/>
  <c r="D34" i="9"/>
  <c r="N4" i="9"/>
  <c r="N5" i="9" s="1"/>
  <c r="D36" i="9"/>
  <c r="D35" i="9"/>
  <c r="D83" i="9"/>
  <c r="J83" i="9" s="1"/>
  <c r="D84" i="9"/>
  <c r="J84" i="9" s="1"/>
  <c r="D85" i="9"/>
  <c r="J85" i="9" s="1"/>
  <c r="D86" i="9"/>
  <c r="J86" i="9" s="1"/>
  <c r="D90" i="9"/>
  <c r="J90" i="9" s="1"/>
  <c r="D89" i="9"/>
  <c r="J89" i="9" s="1"/>
  <c r="D14" i="9"/>
  <c r="D5" i="9"/>
  <c r="D31" i="9"/>
  <c r="J31" i="9" s="1"/>
  <c r="D28" i="9"/>
  <c r="D27" i="9"/>
  <c r="J27" i="9" s="1"/>
  <c r="D26" i="9"/>
  <c r="D25" i="9"/>
  <c r="D24" i="9"/>
  <c r="D23" i="9"/>
  <c r="D22" i="9"/>
  <c r="D21" i="9"/>
  <c r="D18" i="9"/>
  <c r="Q16" i="9"/>
  <c r="D17" i="9" s="1"/>
  <c r="D16" i="9"/>
  <c r="D12" i="9"/>
  <c r="D13" i="9"/>
  <c r="D11" i="9"/>
  <c r="Q10" i="9"/>
  <c r="D8" i="9" s="1"/>
  <c r="Q9" i="9"/>
  <c r="Q7" i="9"/>
  <c r="H4" i="17" l="1"/>
  <c r="C36" i="17"/>
  <c r="C35" i="17"/>
  <c r="T53" i="17"/>
  <c r="R53" i="17"/>
  <c r="S53" i="17" s="1"/>
  <c r="R54" i="17"/>
  <c r="S54" i="17" s="1"/>
  <c r="T55" i="17"/>
  <c r="R55" i="17"/>
  <c r="S55" i="17" s="1"/>
  <c r="T56" i="17"/>
  <c r="R56" i="17"/>
  <c r="S56" i="17" s="1"/>
  <c r="T57" i="17"/>
  <c r="R57" i="17"/>
  <c r="S57" i="17" s="1"/>
  <c r="T58" i="17"/>
  <c r="R58" i="17"/>
  <c r="S58" i="17" s="1"/>
  <c r="T59" i="17"/>
  <c r="R59" i="17"/>
  <c r="S59" i="17" s="1"/>
  <c r="T60" i="17"/>
  <c r="R60" i="17"/>
  <c r="S60" i="17" s="1"/>
  <c r="O63" i="17"/>
  <c r="I18" i="16"/>
  <c r="H18" i="15"/>
  <c r="H4" i="16"/>
  <c r="H11" i="16" s="1"/>
  <c r="C34" i="16"/>
  <c r="H14" i="16"/>
  <c r="H21" i="16" s="1"/>
  <c r="O63" i="16"/>
  <c r="C35" i="15"/>
  <c r="C36" i="15"/>
  <c r="H11" i="15"/>
  <c r="R57" i="15"/>
  <c r="S57" i="15" s="1"/>
  <c r="R54" i="15"/>
  <c r="S54" i="15" s="1"/>
  <c r="H21" i="15"/>
  <c r="H21" i="14"/>
  <c r="C35" i="14"/>
  <c r="C36" i="14"/>
  <c r="R58" i="14"/>
  <c r="S58" i="14" s="1"/>
  <c r="R54" i="14"/>
  <c r="S54" i="14" s="1"/>
  <c r="R56" i="12"/>
  <c r="S56" i="12" s="1"/>
  <c r="R53" i="12"/>
  <c r="R54" i="12"/>
  <c r="S54" i="12" s="1"/>
  <c r="R60" i="12"/>
  <c r="S60" i="12" s="1"/>
  <c r="S53" i="12"/>
  <c r="H14" i="12"/>
  <c r="B19" i="10"/>
  <c r="B20" i="10" s="1"/>
  <c r="B21" i="10" s="1"/>
  <c r="B18" i="10"/>
  <c r="C136" i="10"/>
  <c r="E122" i="10"/>
  <c r="D122" i="10"/>
  <c r="E126" i="10"/>
  <c r="D126" i="10"/>
  <c r="E125" i="10"/>
  <c r="D125" i="10"/>
  <c r="E124" i="10"/>
  <c r="D124" i="10"/>
  <c r="E123" i="10"/>
  <c r="D123" i="10"/>
  <c r="E135" i="10"/>
  <c r="D135" i="10"/>
  <c r="E134" i="10"/>
  <c r="D134" i="10"/>
  <c r="E133" i="10"/>
  <c r="D133" i="10"/>
  <c r="E132" i="10"/>
  <c r="E131" i="10"/>
  <c r="E130" i="10"/>
  <c r="D130" i="10"/>
  <c r="E129" i="10"/>
  <c r="D129" i="10"/>
  <c r="E128" i="10"/>
  <c r="E127" i="10"/>
  <c r="D127" i="10"/>
  <c r="F95" i="10"/>
  <c r="D6" i="9"/>
  <c r="D7" i="9"/>
  <c r="J7" i="9" s="1"/>
  <c r="F12" i="9"/>
  <c r="F26" i="9"/>
  <c r="F27" i="9"/>
  <c r="F28" i="9"/>
  <c r="F29" i="9"/>
  <c r="F30" i="9"/>
  <c r="F31" i="9"/>
  <c r="F32" i="9"/>
  <c r="D32" i="9" s="1"/>
  <c r="F33" i="9"/>
  <c r="F34" i="9"/>
  <c r="F35" i="9"/>
  <c r="F36" i="9"/>
  <c r="F37" i="9"/>
  <c r="F19" i="9"/>
  <c r="D19" i="9" s="1"/>
  <c r="J19" i="9" s="1"/>
  <c r="F20" i="9"/>
  <c r="D20" i="9" s="1"/>
  <c r="J20" i="9" s="1"/>
  <c r="F21" i="9"/>
  <c r="F22" i="9"/>
  <c r="F23" i="9"/>
  <c r="F24" i="9"/>
  <c r="F25" i="9"/>
  <c r="F5" i="9"/>
  <c r="F6" i="9"/>
  <c r="F7" i="9"/>
  <c r="F8" i="9"/>
  <c r="F9" i="9"/>
  <c r="F10" i="9"/>
  <c r="F11" i="9"/>
  <c r="F13" i="9"/>
  <c r="F14" i="9"/>
  <c r="F15" i="9"/>
  <c r="F16" i="9"/>
  <c r="F17" i="9"/>
  <c r="F18" i="9"/>
  <c r="F4" i="9"/>
  <c r="F61" i="9"/>
  <c r="D61" i="9" s="1"/>
  <c r="J61" i="9" s="1"/>
  <c r="F58" i="9"/>
  <c r="D58" i="9" s="1"/>
  <c r="J58" i="9" s="1"/>
  <c r="F139" i="9"/>
  <c r="D139" i="9" s="1"/>
  <c r="J139" i="9" s="1"/>
  <c r="F140" i="9"/>
  <c r="F142" i="9"/>
  <c r="F144" i="9"/>
  <c r="D144" i="9" s="1"/>
  <c r="F121" i="9"/>
  <c r="D121" i="9" s="1"/>
  <c r="J121" i="9" s="1"/>
  <c r="F127" i="9"/>
  <c r="D127" i="9" s="1"/>
  <c r="J127" i="9" s="1"/>
  <c r="F128" i="9"/>
  <c r="D128" i="9" s="1"/>
  <c r="J128" i="9" s="1"/>
  <c r="F87" i="9"/>
  <c r="F88" i="9"/>
  <c r="D88" i="9" s="1"/>
  <c r="J88" i="9" s="1"/>
  <c r="F74" i="9"/>
  <c r="F73" i="9"/>
  <c r="D73" i="9" s="1"/>
  <c r="F72" i="9"/>
  <c r="D72" i="9" s="1"/>
  <c r="F71" i="9"/>
  <c r="F56" i="9"/>
  <c r="D56" i="9" s="1"/>
  <c r="J56" i="9" s="1"/>
  <c r="F38" i="9"/>
  <c r="J11" i="9"/>
  <c r="J144" i="9"/>
  <c r="J74" i="9"/>
  <c r="J73" i="9"/>
  <c r="J35" i="9"/>
  <c r="J36" i="9"/>
  <c r="J34" i="9"/>
  <c r="J6" i="9"/>
  <c r="J32" i="9"/>
  <c r="J18" i="9"/>
  <c r="J8" i="9"/>
  <c r="J17" i="9"/>
  <c r="J38" i="9"/>
  <c r="J120" i="9"/>
  <c r="J72" i="9"/>
  <c r="J28" i="9"/>
  <c r="J5" i="9"/>
  <c r="J116" i="9"/>
  <c r="J105" i="9"/>
  <c r="J22" i="9"/>
  <c r="J23" i="9"/>
  <c r="J24" i="9"/>
  <c r="J25" i="9"/>
  <c r="J26" i="9"/>
  <c r="J21" i="9"/>
  <c r="J13" i="9"/>
  <c r="J14" i="9"/>
  <c r="J15" i="9"/>
  <c r="J16" i="9"/>
  <c r="J12" i="9"/>
  <c r="D132" i="10"/>
  <c r="D128" i="10"/>
  <c r="D136" i="10"/>
  <c r="G105" i="10"/>
  <c r="G111" i="10"/>
  <c r="J4" i="9"/>
  <c r="N89" i="10"/>
  <c r="O71" i="10"/>
  <c r="O89" i="10" s="1"/>
  <c r="N70" i="10"/>
  <c r="B26" i="10"/>
  <c r="B180" i="9" s="1"/>
  <c r="B182" i="9" s="1"/>
  <c r="B183" i="9" s="1"/>
  <c r="E11" i="11" s="1"/>
  <c r="B25" i="10"/>
  <c r="E7" i="11" s="1"/>
  <c r="B22" i="10"/>
  <c r="O52" i="10"/>
  <c r="O70" i="10" s="1"/>
  <c r="F92" i="9"/>
  <c r="D92" i="9" s="1"/>
  <c r="J92" i="9" s="1"/>
  <c r="F93" i="9"/>
  <c r="D93" i="9" s="1"/>
  <c r="J93" i="9" s="1"/>
  <c r="F94" i="9"/>
  <c r="D94" i="9" s="1"/>
  <c r="J94" i="9" s="1"/>
  <c r="F95" i="9"/>
  <c r="F96" i="9"/>
  <c r="D96" i="9" s="1"/>
  <c r="J96" i="9" s="1"/>
  <c r="F97" i="9"/>
  <c r="D97" i="9" s="1"/>
  <c r="J97" i="9" s="1"/>
  <c r="F98" i="9"/>
  <c r="D98" i="9" s="1"/>
  <c r="J98" i="9" s="1"/>
  <c r="F99" i="9"/>
  <c r="D99" i="9" s="1"/>
  <c r="J99" i="9" s="1"/>
  <c r="F100" i="9"/>
  <c r="D100" i="9" s="1"/>
  <c r="J100" i="9" s="1"/>
  <c r="F101" i="9"/>
  <c r="D101" i="9" s="1"/>
  <c r="J101" i="9" s="1"/>
  <c r="F102" i="9"/>
  <c r="F103" i="9"/>
  <c r="D103" i="9" s="1"/>
  <c r="J103" i="9" s="1"/>
  <c r="F104" i="9"/>
  <c r="D104" i="9" s="1"/>
  <c r="J104" i="9" s="1"/>
  <c r="F105" i="9"/>
  <c r="F106" i="9"/>
  <c r="F107" i="9"/>
  <c r="F108" i="9"/>
  <c r="F109" i="9"/>
  <c r="F110" i="9"/>
  <c r="F111" i="9"/>
  <c r="F112" i="9"/>
  <c r="F113" i="9"/>
  <c r="F114" i="9"/>
  <c r="D114" i="9" s="1"/>
  <c r="J114" i="9" s="1"/>
  <c r="F115" i="9"/>
  <c r="D115" i="9" s="1"/>
  <c r="J115" i="9" s="1"/>
  <c r="F116" i="9"/>
  <c r="F117" i="9"/>
  <c r="D117" i="9" s="1"/>
  <c r="J117" i="9" s="1"/>
  <c r="F118" i="9"/>
  <c r="F119" i="9"/>
  <c r="D119" i="9" s="1"/>
  <c r="J119" i="9" s="1"/>
  <c r="F91" i="9"/>
  <c r="D91" i="9" s="1"/>
  <c r="F78" i="9"/>
  <c r="D78" i="9" s="1"/>
  <c r="J78" i="9" s="1"/>
  <c r="F79" i="9"/>
  <c r="D79" i="9" s="1"/>
  <c r="J79" i="9" s="1"/>
  <c r="F80" i="9"/>
  <c r="D80" i="9" s="1"/>
  <c r="J80" i="9" s="1"/>
  <c r="F81" i="9"/>
  <c r="D81" i="9" s="1"/>
  <c r="J81" i="9" s="1"/>
  <c r="F82" i="9"/>
  <c r="D82" i="9" s="1"/>
  <c r="J82" i="9" s="1"/>
  <c r="F77" i="9"/>
  <c r="D77" i="9" s="1"/>
  <c r="J77" i="9" s="1"/>
  <c r="F75" i="9"/>
  <c r="D75" i="9" s="1"/>
  <c r="J75" i="9" s="1"/>
  <c r="F65" i="9"/>
  <c r="D65" i="9" s="1"/>
  <c r="J65" i="9" s="1"/>
  <c r="F66" i="9"/>
  <c r="D66" i="9" s="1"/>
  <c r="J66" i="9" s="1"/>
  <c r="F67" i="9"/>
  <c r="D67" i="9" s="1"/>
  <c r="J67" i="9" s="1"/>
  <c r="F68" i="9"/>
  <c r="D68" i="9" s="1"/>
  <c r="J68" i="9" s="1"/>
  <c r="F69" i="9"/>
  <c r="D69" i="9" s="1"/>
  <c r="J69" i="9" s="1"/>
  <c r="F70" i="9"/>
  <c r="D70" i="9" s="1"/>
  <c r="J70" i="9" s="1"/>
  <c r="F64" i="9"/>
  <c r="D64" i="9" s="1"/>
  <c r="J64" i="9" s="1"/>
  <c r="F62" i="9"/>
  <c r="D62" i="9" s="1"/>
  <c r="J62" i="9" s="1"/>
  <c r="F60" i="9"/>
  <c r="D60" i="9" s="1"/>
  <c r="J60" i="9" s="1"/>
  <c r="F59" i="9"/>
  <c r="D59" i="9" s="1"/>
  <c r="J59" i="9" s="1"/>
  <c r="F57" i="9"/>
  <c r="D57" i="9" s="1"/>
  <c r="J57" i="9" s="1"/>
  <c r="F40" i="9"/>
  <c r="J40" i="9" s="1"/>
  <c r="F41" i="9"/>
  <c r="D41" i="9" s="1"/>
  <c r="J41" i="9" s="1"/>
  <c r="F42" i="9"/>
  <c r="D42" i="9" s="1"/>
  <c r="J42" i="9" s="1"/>
  <c r="F43" i="9"/>
  <c r="D43" i="9" s="1"/>
  <c r="J43" i="9" s="1"/>
  <c r="F44" i="9"/>
  <c r="D44" i="9" s="1"/>
  <c r="J44" i="9" s="1"/>
  <c r="F45" i="9"/>
  <c r="D45" i="9" s="1"/>
  <c r="J45" i="9" s="1"/>
  <c r="F46" i="9"/>
  <c r="D46" i="9" s="1"/>
  <c r="J46" i="9" s="1"/>
  <c r="F47" i="9"/>
  <c r="D47" i="9" s="1"/>
  <c r="J47" i="9" s="1"/>
  <c r="F48" i="9"/>
  <c r="F49" i="9"/>
  <c r="D49" i="9" s="1"/>
  <c r="J49" i="9" s="1"/>
  <c r="F50" i="9"/>
  <c r="D50" i="9" s="1"/>
  <c r="J50" i="9" s="1"/>
  <c r="F51" i="9"/>
  <c r="D51" i="9" s="1"/>
  <c r="J51" i="9" s="1"/>
  <c r="F52" i="9"/>
  <c r="D52" i="9" s="1"/>
  <c r="J52" i="9" s="1"/>
  <c r="F53" i="9"/>
  <c r="D53" i="9" s="1"/>
  <c r="J53" i="9" s="1"/>
  <c r="F54" i="9"/>
  <c r="D54" i="9" s="1"/>
  <c r="J54" i="9" s="1"/>
  <c r="F55" i="9"/>
  <c r="D55" i="9" s="1"/>
  <c r="J55" i="9" s="1"/>
  <c r="F39" i="9"/>
  <c r="C37" i="17" l="1"/>
  <c r="D14" i="17" s="1"/>
  <c r="E14" i="17"/>
  <c r="H11" i="17"/>
  <c r="I4" i="17"/>
  <c r="H23" i="16"/>
  <c r="C35" i="16"/>
  <c r="C36" i="16"/>
  <c r="H23" i="15"/>
  <c r="E14" i="15"/>
  <c r="C37" i="15"/>
  <c r="D14" i="15" s="1"/>
  <c r="E14" i="14"/>
  <c r="C37" i="14"/>
  <c r="D14" i="14" s="1"/>
  <c r="C34" i="12"/>
  <c r="C35" i="12" s="1"/>
  <c r="H21" i="12"/>
  <c r="S58" i="10"/>
  <c r="B37" i="10" s="1"/>
  <c r="B38" i="10" s="1"/>
  <c r="F136" i="10"/>
  <c r="E136" i="10"/>
  <c r="D39" i="9"/>
  <c r="J39" i="9" s="1"/>
  <c r="J145" i="9" s="1"/>
  <c r="F147" i="9"/>
  <c r="F148" i="9" s="1"/>
  <c r="E14" i="16" l="1"/>
  <c r="C37" i="16"/>
  <c r="D14" i="16" s="1"/>
  <c r="C36" i="12"/>
  <c r="E12" i="11"/>
  <c r="E15" i="11" s="1"/>
  <c r="E14" i="12"/>
  <c r="C37" i="12"/>
  <c r="D14" i="12" s="1"/>
  <c r="G136" i="10"/>
  <c r="D137" i="10"/>
  <c r="E5" i="11" s="1"/>
  <c r="B40" i="10"/>
  <c r="E6" i="11" s="1"/>
  <c r="E10" i="11" s="1"/>
  <c r="E16" i="11" s="1"/>
  <c r="H11" i="12" l="1"/>
  <c r="J8" i="12"/>
  <c r="I11" i="12" l="1"/>
  <c r="H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tc={6BAFE5E4-BA64-49FE-9DE7-20393CBE0539}</author>
  </authors>
  <commentList>
    <comment ref="L51" authorId="0" shapeId="0" xr:uid="{6BAFE5E4-BA64-49FE-9DE7-20393CBE0539}">
      <text>
        <t>[Opmerkingenthread]
U kunt deze opmerkingenthread lezen in uw versie van Excel. Eventuele wijzigingen aan de thread gaan echter verloren als het bestand wordt geopend in een nieuwere versie van Excel. Meer informatie: https://go.microsoft.com/fwlink/?linkid=870924
Opmerking:
    in the article it is mg 100g-1</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tc={CEE8FAF0-E26A-4CD6-9793-157650C49E63}</author>
  </authors>
  <commentList>
    <comment ref="L51" authorId="0" shapeId="0" xr:uid="{CEE8FAF0-E26A-4CD6-9793-157650C49E63}">
      <text>
        <t>[Opmerkingenthread]
U kunt deze opmerkingenthread lezen in uw versie van Excel. Eventuele wijzigingen aan de thread gaan echter verloren als het bestand wordt geopend in een nieuwere versie van Excel. Meer informatie: https://go.microsoft.com/fwlink/?linkid=870924
Opmerking:
    in the article it is mg 100g-1</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tc={76B2F4F7-6979-47AE-8BB1-8340B706EA19}</author>
  </authors>
  <commentList>
    <comment ref="L51" authorId="0" shapeId="0" xr:uid="{76B2F4F7-6979-47AE-8BB1-8340B706EA19}">
      <text>
        <t>[Opmerkingenthread]
U kunt deze opmerkingenthread lezen in uw versie van Excel. Eventuele wijzigingen aan de thread gaan echter verloren als het bestand wordt geopend in een nieuwere versie van Excel. Meer informatie: https://go.microsoft.com/fwlink/?linkid=870924
Opmerking:
    in the article it is mg 100g-1</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tc={B0371893-4BE8-461A-ACED-75A5E0CD9470}</author>
  </authors>
  <commentList>
    <comment ref="L51" authorId="0" shapeId="0" xr:uid="{B0371893-4BE8-461A-ACED-75A5E0CD9470}">
      <text>
        <t>[Opmerkingenthread]
U kunt deze opmerkingenthread lezen in uw versie van Excel. Eventuele wijzigingen aan de thread gaan echter verloren als het bestand wordt geopend in een nieuwere versie van Excel. Meer informatie: https://go.microsoft.com/fwlink/?linkid=870924
Opmerking:
    in the article it is mg 100g-1</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tc={AED6A036-AC02-4AD9-B6A3-72C0486B91E4}</author>
  </authors>
  <commentList>
    <comment ref="L51" authorId="0" shapeId="0" xr:uid="{AED6A036-AC02-4AD9-B6A3-72C0486B91E4}">
      <text>
        <t>[Opmerkingenthread]
U kunt deze opmerkingenthread lezen in uw versie van Excel. Eventuele wijzigingen aan de thread gaan echter verloren als het bestand wordt geopend in een nieuwere versie van Excel. Meer informatie: https://go.microsoft.com/fwlink/?linkid=870924
Opmerking:
    in the article it is mg 100g-1</t>
      </text>
    </comment>
  </commentList>
</comments>
</file>

<file path=xl/sharedStrings.xml><?xml version="1.0" encoding="utf-8"?>
<sst xmlns="http://schemas.openxmlformats.org/spreadsheetml/2006/main" count="1056" uniqueCount="543">
  <si>
    <t>asperge</t>
  </si>
  <si>
    <t>courgette</t>
  </si>
  <si>
    <t>rabarber</t>
  </si>
  <si>
    <t>tuinboon</t>
  </si>
  <si>
    <t>mais</t>
  </si>
  <si>
    <t>witlof?</t>
  </si>
  <si>
    <t>pastinaak</t>
  </si>
  <si>
    <t>tomaat</t>
  </si>
  <si>
    <t>pompoen</t>
  </si>
  <si>
    <t>zwartmoeskervel</t>
  </si>
  <si>
    <t>bieslook</t>
  </si>
  <si>
    <t>knoflookbieslook</t>
  </si>
  <si>
    <t>rozemarijn</t>
  </si>
  <si>
    <t>300 zaden</t>
  </si>
  <si>
    <t>engelwortel</t>
  </si>
  <si>
    <t>mierikswortel</t>
  </si>
  <si>
    <t>zilverzuring</t>
  </si>
  <si>
    <t>Kool broccoli</t>
  </si>
  <si>
    <t>winterkers</t>
  </si>
  <si>
    <t>witte klaver</t>
  </si>
  <si>
    <t>aardappel winter</t>
  </si>
  <si>
    <t>aardappel zomer</t>
  </si>
  <si>
    <t>andijvie nazomer</t>
  </si>
  <si>
    <t>andijvie winter</t>
  </si>
  <si>
    <t>500 zaden</t>
  </si>
  <si>
    <t>aubergine</t>
  </si>
  <si>
    <t>Biet egyptische/ chioggia/ golden/ wit</t>
  </si>
  <si>
    <t>biet winter kogel</t>
  </si>
  <si>
    <t>bleekselder tall utah/ F1</t>
  </si>
  <si>
    <t>bonen cobra</t>
  </si>
  <si>
    <t>bonen droog</t>
  </si>
  <si>
    <t>bonen laag faraday</t>
  </si>
  <si>
    <t>bonen laag marona</t>
  </si>
  <si>
    <t>bonen spek en RSS</t>
  </si>
  <si>
    <t>daikon</t>
  </si>
  <si>
    <t>echinacea</t>
  </si>
  <si>
    <t>erwt capucijner</t>
  </si>
  <si>
    <t>erwt doperwt hoog laat</t>
  </si>
  <si>
    <t>erwt doperwt hoog senator  midden en laat</t>
  </si>
  <si>
    <t>erwt doperwt vroegste</t>
  </si>
  <si>
    <t>erwt gele sugarsnap</t>
  </si>
  <si>
    <t>erwt peul sweet horizon</t>
  </si>
  <si>
    <t>groenlof</t>
  </si>
  <si>
    <t>haverwortel</t>
  </si>
  <si>
    <t>kamille</t>
  </si>
  <si>
    <t>kervel</t>
  </si>
  <si>
    <t>kleine blaadjes – radijs</t>
  </si>
  <si>
    <t>kleine blaadjes raapsteel en rucola en mosterd</t>
  </si>
  <si>
    <t>kleine blaadjes- tuinkers</t>
  </si>
  <si>
    <t>knoflook lenteplant om te dunnen</t>
  </si>
  <si>
    <t>knoflook morado</t>
  </si>
  <si>
    <t>knoflook vallelado</t>
  </si>
  <si>
    <t>1 bed</t>
  </si>
  <si>
    <t>knolselderij</t>
  </si>
  <si>
    <t>komkommer</t>
  </si>
  <si>
    <t>kool bloemkool alpha weeuwen eerste</t>
  </si>
  <si>
    <t>Kool Bloemkool Neckarperle tweede</t>
  </si>
  <si>
    <t>Kool bloemkool Tabiro derde</t>
  </si>
  <si>
    <t>Kool bloemkool flora blanca derde</t>
  </si>
  <si>
    <t xml:space="preserve">kool boeren  </t>
  </si>
  <si>
    <t>Kool boerenkool palmkool, red russian</t>
  </si>
  <si>
    <t>800 zaden</t>
  </si>
  <si>
    <t>Kool chinese kool</t>
  </si>
  <si>
    <t>Kool paksoi</t>
  </si>
  <si>
    <t>kool rood</t>
  </si>
  <si>
    <t>kool savooi</t>
  </si>
  <si>
    <t>kool spits</t>
  </si>
  <si>
    <t>Kool spruiten</t>
  </si>
  <si>
    <t>kool wit</t>
  </si>
  <si>
    <t>kool zuur</t>
  </si>
  <si>
    <t>koolraap</t>
  </si>
  <si>
    <t>koolrabi</t>
  </si>
  <si>
    <t>koreaanse munt</t>
  </si>
  <si>
    <t>koriander</t>
  </si>
  <si>
    <t>Kruiden – krulpeterselie</t>
  </si>
  <si>
    <t>kruiden- basilicum citroen/ groen/ rood</t>
  </si>
  <si>
    <t>kruiden- dille</t>
  </si>
  <si>
    <t xml:space="preserve"> meiraap</t>
  </si>
  <si>
    <t>melde rood</t>
  </si>
  <si>
    <t>nz spinazie</t>
  </si>
  <si>
    <t>paprika</t>
  </si>
  <si>
    <t>peen amsterdam</t>
  </si>
  <si>
    <t>peen winter</t>
  </si>
  <si>
    <t>peen zomer oranje</t>
  </si>
  <si>
    <t>peper  lang lang</t>
  </si>
  <si>
    <t>perilla</t>
  </si>
  <si>
    <t>peterseliewortel</t>
  </si>
  <si>
    <t>physalis peruviana</t>
  </si>
  <si>
    <t>physalis pruinosa (ananaskers??)</t>
  </si>
  <si>
    <t>prei late herfst en winterras</t>
  </si>
  <si>
    <t>prei herfst</t>
  </si>
  <si>
    <t>prei winter</t>
  </si>
  <si>
    <t>prei zomer</t>
  </si>
  <si>
    <t>rammenas zwarte en groene</t>
  </si>
  <si>
    <t>rettich laurin</t>
  </si>
  <si>
    <t>rettich rosa</t>
  </si>
  <si>
    <t>roodlof 1</t>
  </si>
  <si>
    <t>150 zaden</t>
  </si>
  <si>
    <t>roodlof 2</t>
  </si>
  <si>
    <t>roodlof 3</t>
  </si>
  <si>
    <t>400 zaden</t>
  </si>
  <si>
    <t>roodlof rossa vinci</t>
  </si>
  <si>
    <t>sla</t>
  </si>
  <si>
    <t>sla ijsberg</t>
  </si>
  <si>
    <t>Sla stengelsla</t>
  </si>
  <si>
    <t>snij snijbiet</t>
  </si>
  <si>
    <t xml:space="preserve">snijbiet  </t>
  </si>
  <si>
    <t>Soja edamame</t>
  </si>
  <si>
    <t>tong ho in meerjarigengebied</t>
  </si>
  <si>
    <t>plantui</t>
  </si>
  <si>
    <t>zaaiui</t>
  </si>
  <si>
    <t>venkel</t>
  </si>
  <si>
    <t>winterblad postelein</t>
  </si>
  <si>
    <t>winterblad veldsla</t>
  </si>
  <si>
    <t>yacon</t>
  </si>
  <si>
    <t xml:space="preserve">zomerpostelein   </t>
  </si>
  <si>
    <t>rode klaver om te eten</t>
  </si>
  <si>
    <t>perzische klaver</t>
  </si>
  <si>
    <t>phacelia</t>
  </si>
  <si>
    <t>smeerwortel</t>
  </si>
  <si>
    <t>japanse haver</t>
  </si>
  <si>
    <t>winterwikke/ zottelwicke</t>
  </si>
  <si>
    <t>russische dragon</t>
  </si>
  <si>
    <t>moerasanemoon</t>
  </si>
  <si>
    <t>bataat</t>
  </si>
  <si>
    <t>bladselderij</t>
  </si>
  <si>
    <t>komkommerkruid</t>
  </si>
  <si>
    <t>spinaziezuring</t>
  </si>
  <si>
    <t>30 stuks</t>
  </si>
  <si>
    <t>witte peen</t>
  </si>
  <si>
    <t>gele biet</t>
  </si>
  <si>
    <t>lepelblad</t>
  </si>
  <si>
    <t>stengelui</t>
  </si>
  <si>
    <t>silenesla</t>
  </si>
  <si>
    <t>zeemelde</t>
  </si>
  <si>
    <t>venkel meerjarig</t>
  </si>
  <si>
    <t>crosne</t>
  </si>
  <si>
    <t>oca</t>
  </si>
  <si>
    <t>munt</t>
  </si>
  <si>
    <t>citroenmelisse</t>
  </si>
  <si>
    <t>rucola</t>
  </si>
  <si>
    <t>wilde rucola</t>
  </si>
  <si>
    <t>zonnebloem</t>
  </si>
  <si>
    <t>CROP HARVEST</t>
  </si>
  <si>
    <t>Surface area of beds in 10 m²</t>
  </si>
  <si>
    <t>Groente</t>
  </si>
  <si>
    <t>Vegtetable</t>
  </si>
  <si>
    <t>Gemüse</t>
  </si>
  <si>
    <t>Amount (to be) harvested (kg)</t>
  </si>
  <si>
    <t>Beds</t>
  </si>
  <si>
    <t>Real value bed (= 36 m2)</t>
  </si>
  <si>
    <t>Remarks</t>
  </si>
  <si>
    <t>Reference</t>
  </si>
  <si>
    <t>category</t>
  </si>
  <si>
    <t>Nitrogen content per crop (kg)</t>
  </si>
  <si>
    <t>General data</t>
  </si>
  <si>
    <t>conversion ha to m²</t>
  </si>
  <si>
    <t>winter potato</t>
  </si>
  <si>
    <t>150 kg yield per bed, 10 beds</t>
  </si>
  <si>
    <t>='teeltplan en zaadbestelling 202'!C3</t>
  </si>
  <si>
    <t>starch</t>
  </si>
  <si>
    <t>one bed (m2)</t>
  </si>
  <si>
    <t>length of one bed (m)</t>
  </si>
  <si>
    <t>cenversion g to kg</t>
  </si>
  <si>
    <t>summer potato</t>
  </si>
  <si>
    <t>135 kg yield per bed, 6 beds; potatoes needed in total: 900 kg</t>
  </si>
  <si>
    <t>='teeltplan en zaadbestelling 202'!C4</t>
  </si>
  <si>
    <t>width of one bed (m)</t>
  </si>
  <si>
    <t>endive</t>
  </si>
  <si>
    <t>='bedplanning 2022 werk'!F15</t>
  </si>
  <si>
    <t>leaf crop</t>
  </si>
  <si>
    <t>endive yield (t/ha)</t>
  </si>
  <si>
    <t>https://www.researchgate.net/publication/263386541</t>
  </si>
  <si>
    <t>winter endive</t>
  </si>
  <si>
    <t>='bedplanning 2022 werk'!G32</t>
  </si>
  <si>
    <t>endive yield (kg/m²)</t>
  </si>
  <si>
    <t>eggplant</t>
  </si>
  <si>
    <t>6 beds, but together with tomato and paprika, 300 plants =&gt; area of 2 beds for eggplant; alternatively: 250 plants*10 fruits/plant*0,2 kg/fruit = 500 kg</t>
  </si>
  <si>
    <t>='bedplanning 2022 werk'!F5</t>
  </si>
  <si>
    <t>eggplant yield (t/ha)</t>
  </si>
  <si>
    <t>Diaz-Peréz, J. C. &amp; Eaton T.E. (2015). Eggplant (Solanum melongena L.)Plant Growth and Fruit Yield as Affected by Drip Irrigation Rate. HORTSCIENCE 50(11):1709–1714.</t>
  </si>
  <si>
    <t>turnip</t>
  </si>
  <si>
    <t>Rübe</t>
  </si>
  <si>
    <t>7 beds</t>
  </si>
  <si>
    <t>='bedplanning 2022 werk'!F11 &amp; 'berekeningen hoeveelheden'!D5</t>
  </si>
  <si>
    <t>tuber</t>
  </si>
  <si>
    <t>eggplant yield (kg/m²)</t>
  </si>
  <si>
    <t>winter turnip</t>
  </si>
  <si>
    <t>Winterrübe</t>
  </si>
  <si>
    <t>https://doi.org/10.15835/nbha47311468</t>
  </si>
  <si>
    <t>celery</t>
  </si>
  <si>
    <t>Stangensellerie</t>
  </si>
  <si>
    <t>='teeltplan en zaadbestelling 202'!I10</t>
  </si>
  <si>
    <t>cabbage</t>
  </si>
  <si>
    <t>celery yield (aboveground fresh weight) (g)</t>
  </si>
  <si>
    <t>50-100 g per plant</t>
  </si>
  <si>
    <t>https://doi-org.ezproxy.library.wur.nl/10.1080/19315260.2012.715122</t>
  </si>
  <si>
    <t>beans</t>
  </si>
  <si>
    <t>3 beds</t>
  </si>
  <si>
    <t>='berekeningen hoeveelheden'!E8</t>
  </si>
  <si>
    <t>bean</t>
  </si>
  <si>
    <t>celery yield (t/ha)</t>
  </si>
  <si>
    <t>https://www.agrifarming.in/celery-farming</t>
  </si>
  <si>
    <t>4 beds</t>
  </si>
  <si>
    <t>='berekeningen hoeveelheden'!E9</t>
  </si>
  <si>
    <t>bean seed yield (kg/ha)</t>
  </si>
  <si>
    <t>https://doi-org.ezproxy.library.wur.nl/10.1016/j.scienta.2017.07.007</t>
  </si>
  <si>
    <t>='berekeningen hoeveelheden'!E10</t>
  </si>
  <si>
    <t>droogbonen opbrengstraming kg per meter bed</t>
  </si>
  <si>
    <t>='berekeningen hoeveelheden'!E11</t>
  </si>
  <si>
    <t>courgette yield (kg/10 m²)</t>
  </si>
  <si>
    <t>https://res.mdpi.com/d_attachment/agronomy/agronomy-10-01341/article_deploy/agronomy-10-01341-v2.pdf</t>
  </si>
  <si>
    <t>2 beds</t>
  </si>
  <si>
    <t>='berekeningen hoeveelheden'!E12</t>
  </si>
  <si>
    <t>courgette yield (kg/m²)</t>
  </si>
  <si>
    <t>Zucchini</t>
  </si>
  <si>
    <t>='teeltplan en zaadbestelling 202'!I16</t>
  </si>
  <si>
    <t>estimated weight of one radish plant (g)</t>
  </si>
  <si>
    <t>https://www.answers.com/Q/What_is_the_average_weight_of_a_radish</t>
  </si>
  <si>
    <t>daikon (radijs)</t>
  </si>
  <si>
    <t>radish</t>
  </si>
  <si>
    <t>3500 seeds are (going to be) planted</t>
  </si>
  <si>
    <t>='teeltplan en zaadbestelling 202'!M17</t>
  </si>
  <si>
    <t>peas yield (t/ha)</t>
  </si>
  <si>
    <t>https://ourworldindata.org/grapher/pea-yields</t>
  </si>
  <si>
    <t>only parts of the plant are harvested</t>
  </si>
  <si>
    <t>angelica root</t>
  </si>
  <si>
    <t>Echte Engelwurz</t>
  </si>
  <si>
    <t>root</t>
  </si>
  <si>
    <t>N content of vegetables (g/100g)</t>
  </si>
  <si>
    <t>kg/kg</t>
  </si>
  <si>
    <t>peas</t>
  </si>
  <si>
    <t>0,5 beds</t>
  </si>
  <si>
    <t>carrot = root</t>
  </si>
  <si>
    <t>potato</t>
  </si>
  <si>
    <t>cucumber</t>
  </si>
  <si>
    <t>chicory</t>
  </si>
  <si>
    <t>600 seeds, 1 chicory = 100g</t>
  </si>
  <si>
    <t>Japanese radish = tuber</t>
  </si>
  <si>
    <t>salsifis</t>
  </si>
  <si>
    <t xml:space="preserve">1000 seeds, 1 salsifis = 75g </t>
  </si>
  <si>
    <t>lettuce = leaf crops</t>
  </si>
  <si>
    <t>chamomile</t>
  </si>
  <si>
    <t>You can't know</t>
  </si>
  <si>
    <t>onion = bulb</t>
  </si>
  <si>
    <t>chervil</t>
  </si>
  <si>
    <t>spinach</t>
  </si>
  <si>
    <t xml:space="preserve">1500 seeds, 1 radish = 10g </t>
  </si>
  <si>
    <t>tomato</t>
  </si>
  <si>
    <t>turnip + rocket + mustard</t>
  </si>
  <si>
    <t>60000 seeds for turnip and mustard + 120000 seeds for rocket</t>
  </si>
  <si>
    <t>maize</t>
  </si>
  <si>
    <t>cress</t>
  </si>
  <si>
    <t>100000 seeds</t>
  </si>
  <si>
    <t>Source:</t>
  </si>
  <si>
    <t>https://doi.org/10.1016/0889-1575(87)90007-X.</t>
  </si>
  <si>
    <t>garlic</t>
  </si>
  <si>
    <t xml:space="preserve">3000 toes </t>
  </si>
  <si>
    <t>bulb</t>
  </si>
  <si>
    <t>source: Millard, P. (1986). The nitrogen content of potato (Solanum tuberosum L.) tubers in relation to nitrogen application—the effect on amino acid composition and yields. Journal of the Science of Food and Agriculture, 37(2), 107-114.</t>
  </si>
  <si>
    <t xml:space="preserve">2400 toes </t>
  </si>
  <si>
    <t>yield perannials: Frontiers in Sustainable Food Systems, 216.</t>
  </si>
  <si>
    <t>2.5 t/ha</t>
  </si>
  <si>
    <t xml:space="preserve">2.5 kg/10m2 </t>
  </si>
  <si>
    <t xml:space="preserve"> Kreitzman, M., Toensmeier, E., Chan, K., Smukler, S., &amp; Ramankutty, N. (2020). Perennial staple crops: yields, distribution, and nutrition in the global food system.</t>
  </si>
  <si>
    <t>N content of beans</t>
  </si>
  <si>
    <r>
      <t>KAPLAN, E., BAL, S. S., &amp; AYÇİÇEK, M. (2018). Bingöl ilinde yetiştirilen bazı fasulye (phaseolus vulgaris) çeşitlerinde tespit edilen böcek populasyonları ve Acanthoscelides obtectus’a Tepkileri. </t>
    </r>
    <r>
      <rPr>
        <i/>
        <sz val="10"/>
        <color rgb="FF222222"/>
        <rFont val="Arial"/>
        <family val="2"/>
      </rPr>
      <t>Tarla Bitkileri Merkez Araştırma Enstitüsü Dergisi</t>
    </r>
    <r>
      <rPr>
        <sz val="10"/>
        <color rgb="FF222222"/>
        <rFont val="Arial"/>
        <family val="2"/>
      </rPr>
      <t>, </t>
    </r>
    <r>
      <rPr>
        <i/>
        <sz val="10"/>
        <color rgb="FF222222"/>
        <rFont val="Arial"/>
        <family val="2"/>
      </rPr>
      <t>27</t>
    </r>
    <r>
      <rPr>
        <sz val="10"/>
        <color rgb="FF222222"/>
        <rFont val="Arial"/>
        <family val="2"/>
      </rPr>
      <t>(1), 47-54.</t>
    </r>
  </si>
  <si>
    <t>N content of maize</t>
  </si>
  <si>
    <t>Nenova, L., Benkova, M., Simeonova, T., &amp; Atanassova, I. (2019). Nitrogen, phosphorus and potassium content in maize dry biomass under the effect of different levels of mineral fertilization. Agricultural Science &amp; Technology (1313-8820), 11(4).</t>
  </si>
  <si>
    <t xml:space="preserve">Cucumber </t>
  </si>
  <si>
    <t>500 seeds</t>
  </si>
  <si>
    <t>kale</t>
  </si>
  <si>
    <t>600 seeds</t>
  </si>
  <si>
    <t>300 seeds</t>
  </si>
  <si>
    <t>1000 seeds</t>
  </si>
  <si>
    <t>broccoli</t>
  </si>
  <si>
    <t>pakchoi</t>
  </si>
  <si>
    <t>red kale</t>
  </si>
  <si>
    <t>Brussel sprouts</t>
  </si>
  <si>
    <t>25 plants</t>
  </si>
  <si>
    <t>Kardoen</t>
  </si>
  <si>
    <t>total beds</t>
  </si>
  <si>
    <t>total m2</t>
  </si>
  <si>
    <t>NH3 VOLATILIZATION</t>
  </si>
  <si>
    <t>The leaf litter is composted in De Wilde Peen, so there the emission of the CO2, CH4, NH3 and N2O from the compost takes place. The emission of N2O is negligible according to Beck-Friis et al. (2003)</t>
  </si>
  <si>
    <t xml:space="preserve">but the emission of NH3 from household compost can amount to 15-60 % of initial nitrogen content. Figure 5 from the paper suggests that 25.9 % of the initial N in the study's experiment were lost as NH3. </t>
  </si>
  <si>
    <t>total NH3-N emission (from compost with 16 % O2)</t>
  </si>
  <si>
    <t>% of initial N</t>
  </si>
  <si>
    <t>Beck-Friis, B., Smars, S., Jonsson, H., Eklind, Y., &amp; Kirchmann, H. (2003). Composting of source-separated household organics at different oxygen levels: Gaining an understanding of the emission dynamics. Compost Science &amp; Utilization, 11(1), 41. https://www.proquest.com/scholarly-journals/composting-source-separated-household-organics-at/docview/214891099/se-2?accountid=27871</t>
  </si>
  <si>
    <t xml:space="preserve">The C:N ratio of the compost in this study is 22:1. Leaf litter as used by Klarien and Maria has a lower C:N ratio. </t>
  </si>
  <si>
    <t>We assume that although the initial N content per klio is lower in the leaf litter, the fraction of N that volatilizes is equal as in the 22:1 compost.</t>
  </si>
  <si>
    <t>Nitrogen content of the importet leaf litter</t>
  </si>
  <si>
    <t>kg N</t>
  </si>
  <si>
    <t>Total NH3-N emission</t>
  </si>
  <si>
    <t>of initial N</t>
  </si>
  <si>
    <t>Amount of leaf litter N that volatilizes from all the leaves that were imported</t>
  </si>
  <si>
    <t>Amount of leaf litter N that volatilizes from the leaves that were used in one growing season</t>
  </si>
  <si>
    <t>kg N/year</t>
  </si>
  <si>
    <t>Denitrification</t>
  </si>
  <si>
    <t>Soil denitrification ranges between 0.81 - 4.4 g N/ha/d for silty loam in Guelph, 17+7+2 g N/ha/d for medium wet soil (4 kPa matric potential) with 10% clay in Australia and 14 kg N/ha/yr (= 38.36 g N/ha/d) for fertilized sandy soil in the Netherlands. </t>
  </si>
  <si>
    <t>=&gt; Range: 0.81 g N/ha/d - 38.35 g N/ha/d </t>
  </si>
  <si>
    <t>Last paper seems to be most reliable; a reasonable middle value is taken to account for dry sandy soil in the Netherlands that is not being fertilized -&gt; 25 g N/ha/d </t>
  </si>
  <si>
    <r>
      <t>=&gt; Denitrification in Wilde Peen: 25 g N/ha/d * 0.8 ha * 365 d = 7300 g N/yr =</t>
    </r>
    <r>
      <rPr>
        <sz val="11"/>
        <color rgb="FF9B2D1F"/>
        <rFont val="Calibri"/>
        <charset val="1"/>
      </rPr>
      <t xml:space="preserve"> </t>
    </r>
    <r>
      <rPr>
        <b/>
        <sz val="11"/>
        <color rgb="FF9B2D1F"/>
        <rFont val="Calibri"/>
        <charset val="1"/>
      </rPr>
      <t>7.3 kg N/yr</t>
    </r>
  </si>
  <si>
    <t>g N/yr</t>
  </si>
  <si>
    <t>kg N/yr</t>
  </si>
  <si>
    <t>Atmospheric N-deposition</t>
  </si>
  <si>
    <t>In Food Forest Droevendaal, 57.03 kg N/ha are deposited annually (Study by Jose Peters)</t>
  </si>
  <si>
    <t>kg N/ha/year</t>
  </si>
  <si>
    <t>ha farm size</t>
  </si>
  <si>
    <t>kg N/0.8 ha</t>
  </si>
  <si>
    <t>Leaf litter</t>
  </si>
  <si>
    <t>Import (m³/2 years)</t>
  </si>
  <si>
    <t>Import (m³/year)</t>
  </si>
  <si>
    <t>Volume of 100 g leaves (fresh basil, lightly dried parsley) (cm³)</t>
  </si>
  <si>
    <r>
      <t>100 g fresh basil = 985.78 cm³ = ca. 1000 cm³ = 0.001 m³</t>
    </r>
    <r>
      <rPr>
        <sz val="11"/>
        <rFont val="WordVisiCarriageReturn_MSFontSe"/>
        <charset val="1"/>
      </rPr>
      <t> </t>
    </r>
  </si>
  <si>
    <t>Volume of 100 g leaves (fresh parsley)</t>
  </si>
  <si>
    <r>
      <t>100 g chopped flat leaf parsley = 394.31 cm³</t>
    </r>
    <r>
      <rPr>
        <sz val="11"/>
        <rFont val="WordVisiCarriageReturn_MSFontSe"/>
        <charset val="1"/>
      </rPr>
      <t> </t>
    </r>
  </si>
  <si>
    <t>Average volume of 100 g leaves (cm³)</t>
  </si>
  <si>
    <r>
      <t>100 g lightly dried parsley = 985.78 cm³ = ca. 1000 cm³ = 0.001 m³</t>
    </r>
    <r>
      <rPr>
        <sz val="11"/>
        <rFont val="WordVisiCarriageReturn_MSFontSe"/>
        <charset val="1"/>
      </rPr>
      <t> </t>
    </r>
  </si>
  <si>
    <t>Rounded volume of 100 g leaves (cm³)</t>
  </si>
  <si>
    <r>
      <t>100 g spices, parsley, dried = 924.17 cm³</t>
    </r>
    <r>
      <rPr>
        <sz val="11"/>
        <rFont val="WordVisiCarriageReturn_MSFontSe"/>
        <charset val="1"/>
      </rPr>
      <t> </t>
    </r>
  </si>
  <si>
    <t>Rounded volume of 100 g leaves (m³)</t>
  </si>
  <si>
    <t>100g fresh parsley = 389.13 cm³ = ca. 400 cm³ = 0.0004 m³ </t>
  </si>
  <si>
    <t>Rounded volume of 1 kg leaves (m³)</t>
  </si>
  <si>
    <t>Weight of 1 m³ leaf litter (g)</t>
  </si>
  <si>
    <t>https://www.aqua-calc.com/calculate/food-weight-to-volume  </t>
  </si>
  <si>
    <t>Weight of 1 m³ leaf litter (kg)</t>
  </si>
  <si>
    <t>Weight of 75 m³ leaf litter (kg)</t>
  </si>
  <si>
    <t>Weight of 75 m³ leaf litter (t)</t>
  </si>
  <si>
    <t>N-content of deciduous leaf litter (g N/100 g dry mass)</t>
  </si>
  <si>
    <t>N-content of deciduous leaf litter (%)</t>
  </si>
  <si>
    <t>N-content of 75 m³ leaf litter (kg)</t>
  </si>
  <si>
    <t>N-content of 150 m³ leaf litter (kg)</t>
  </si>
  <si>
    <t>Thus, 436.05 kg N were added to the Wilde Peen in form of leaf litter. This leaf litter was distributed on the fields over 2 years and because the leaves first have to be decomposed before they release the N, the N-supply is gradual and not immediate. Some of this N is lost to volatilization.</t>
  </si>
  <si>
    <t>Therefore, there is an actual N-supply to the soil of less than 218 kg N per year.</t>
  </si>
  <si>
    <t>Compost</t>
  </si>
  <si>
    <t>Average weight of compost (kg/m³)</t>
  </si>
  <si>
    <t>https://helpmecompost.com/compost/basics/how-much-does-compost-weigh/</t>
  </si>
  <si>
    <t>Import (kg/year)</t>
  </si>
  <si>
    <t>Typical moisture content of compost</t>
  </si>
  <si>
    <t>https://www.fertilizer-machine.com/solution/Moisture-Content-and-the-Organic-Compost.html</t>
  </si>
  <si>
    <t>N-content (% dry weight)</t>
  </si>
  <si>
    <t>Compost dry weight (kg)</t>
  </si>
  <si>
    <t>N-content of compost (kg)</t>
  </si>
  <si>
    <t xml:space="preserve">So, 102.81 kg N are added in 2022 in form of compost. Again it holds that the N-release is gradual, depending on the mineralization rate </t>
  </si>
  <si>
    <t>of microbes and some N is lost to volatilization.</t>
  </si>
  <si>
    <t>Crude protein concentration = total N (g/kg dry weight) * 6.25</t>
  </si>
  <si>
    <t>Field-cured forage = grass that was laying 3-6 days outside before being brought to the barn</t>
  </si>
  <si>
    <t>NO3- conc. is lower in fresh residue than in FC residue, because digestion to NO3- took place.</t>
  </si>
  <si>
    <t>N (% in dry mass)</t>
  </si>
  <si>
    <t>Crude protein concentration is higher in fresh than in FC residue because proteins were decomposed into a.o. NO3-.</t>
  </si>
  <si>
    <t>Common reed</t>
  </si>
  <si>
    <t>Crude protein (g/kg)</t>
  </si>
  <si>
    <t>Total N (g/kg)</t>
  </si>
  <si>
    <t>Total N (g/100g)</t>
  </si>
  <si>
    <t>Catails</t>
  </si>
  <si>
    <t>Field-cured</t>
  </si>
  <si>
    <t>Orchard grass</t>
  </si>
  <si>
    <t>Singer, J. W. (2002). Fresh versus field-cured grass quality, mineral, and nitrate concentration at different nitrogen rates. Crop Science, 42(5), 1656–1661. https://doi.org/10.2135/cropsci2002.1656</t>
  </si>
  <si>
    <t>Sweet rush</t>
  </si>
  <si>
    <t>Reed meadow - grass</t>
  </si>
  <si>
    <t xml:space="preserve">Reasonable middle value: </t>
  </si>
  <si>
    <t xml:space="preserve">Average </t>
  </si>
  <si>
    <t>Smooth bromegrass</t>
  </si>
  <si>
    <t>Jakubaszek, A. (2020). Nitrogen and phosphorus content in constructed wetlands. Civil and Environmental Engineering Reports, 30 (2): 0247-0257. DOI: 10.2478/ceer-2020-0030</t>
  </si>
  <si>
    <t xml:space="preserve">Timothy </t>
  </si>
  <si>
    <t>Average</t>
  </si>
  <si>
    <t>Fresh</t>
  </si>
  <si>
    <t>Legumes</t>
  </si>
  <si>
    <t>Species</t>
  </si>
  <si>
    <t>Amount N2 fixed (kg N/ha)</t>
  </si>
  <si>
    <t>N supplied to soil (through ploughing after seed harvest) (= 15% of N2 fixed) (kg N/ha)</t>
  </si>
  <si>
    <t>N supplied to soil (through ploughing after seed harvest) (= 15% of N2 fixed) (kg N/m²)</t>
  </si>
  <si>
    <t>min</t>
  </si>
  <si>
    <t>max</t>
  </si>
  <si>
    <t>Conversion factor ha to m²</t>
  </si>
  <si>
    <t>Chickpea (Cicer arietinum)</t>
  </si>
  <si>
    <t>Lentil (Lens culinaris)</t>
  </si>
  <si>
    <t>Pea (Pisum sativum)</t>
  </si>
  <si>
    <t>Faba bean (Vicia faba)</t>
  </si>
  <si>
    <t>Lupin (Lupinus angustifolius)</t>
  </si>
  <si>
    <t>Soybean (Glycine max)</t>
  </si>
  <si>
    <t>Common bean (Phaseolus vulgaris)</t>
  </si>
  <si>
    <t>Pigeon pea (Cajanus cajan)</t>
  </si>
  <si>
    <t>Cowpea (Vigna unguiculata)</t>
  </si>
  <si>
    <t>Lucerne/alfalfa (Medicago sativa)</t>
  </si>
  <si>
    <t>Medicago truncatula</t>
  </si>
  <si>
    <t>Birdsfoot trefoil (Lotus cornicuatus)</t>
  </si>
  <si>
    <t>White clover (Trifolium repens)</t>
  </si>
  <si>
    <t>Red clover (Trifolium pratense)</t>
  </si>
  <si>
    <t>Subterranean clover (Trifolium subterraneum)</t>
  </si>
  <si>
    <t>Crimson clover (Trifolium incarnatum)</t>
  </si>
  <si>
    <t>Vetch (Vicia sativa)</t>
  </si>
  <si>
    <t>Acacia holoserica</t>
  </si>
  <si>
    <t>Trees add atmospheric N to the soil through foliage</t>
  </si>
  <si>
    <t>Calliandra calothyrsus</t>
  </si>
  <si>
    <t>Casuarina equisetifolia</t>
  </si>
  <si>
    <t>Gliricidia sepium</t>
  </si>
  <si>
    <t>Leucaena leucocephala</t>
  </si>
  <si>
    <t>Legumes in De Wilde Peen</t>
  </si>
  <si>
    <t>Conversion factor (size of one bed (m²))</t>
  </si>
  <si>
    <t>beds</t>
  </si>
  <si>
    <t>area (m²)</t>
  </si>
  <si>
    <t>N supplied to soil (through ploughing after seed harvest) (kg N)</t>
  </si>
  <si>
    <t>SUM</t>
  </si>
  <si>
    <t>AVERAGE</t>
  </si>
  <si>
    <t>Reference: Peoples, M. B., Herridge, D. F. &amp; Ladha, J. K. (1995). Biologial nitrogen fixation: An efficient source of nitrogen for sustainable agricultural production?. In: J. K. Ladha &amp; M. B. Peoples (Eds.). Management of Biological Nitrogen Fixation for the Development of More Productive and Sustainable Agricultural Systems (pp. 3-28). https://doi.org/10.1007/978-94-011-0055-7</t>
  </si>
  <si>
    <t>Nitrogen balance</t>
  </si>
  <si>
    <t>Quantity in 2022</t>
  </si>
  <si>
    <t>N content (kg N/0.8 ha farm)</t>
  </si>
  <si>
    <t>Derivation</t>
  </si>
  <si>
    <t>Inputs</t>
  </si>
  <si>
    <t>50 kg N/ha are deposited in Food Forest Droevendaal in Wageningen (Peters, 2021). 50 kg N/ha*0.8 ha = 40 kg N.</t>
  </si>
  <si>
    <t>N-fixation through legumes</t>
  </si>
  <si>
    <t>687.6 m² legumes</t>
  </si>
  <si>
    <t>Compost (made of grass + reeds)</t>
  </si>
  <si>
    <t>16 m³</t>
  </si>
  <si>
    <t>75 m³</t>
  </si>
  <si>
    <t>Potting soil</t>
  </si>
  <si>
    <t>1.5 m³</t>
  </si>
  <si>
    <t>negligible</t>
  </si>
  <si>
    <t>Irrigation + soil water</t>
  </si>
  <si>
    <t>not calculated</t>
  </si>
  <si>
    <t>Outputs</t>
  </si>
  <si>
    <t>Volatilization from leaf litter</t>
  </si>
  <si>
    <t>Crop harvest</t>
  </si>
  <si>
    <t>Denitrification from soil</t>
  </si>
  <si>
    <t>Leaching</t>
  </si>
  <si>
    <t>Net balance</t>
  </si>
  <si>
    <t>Scenario 1</t>
  </si>
  <si>
    <t>Area (ha)</t>
  </si>
  <si>
    <t>Plant biomass (m³)</t>
  </si>
  <si>
    <t>Plant biomass (kg)</t>
  </si>
  <si>
    <t>N fixation (kg N/ha/yr)</t>
  </si>
  <si>
    <t>N content in available plant biomass (%)</t>
  </si>
  <si>
    <t>Total N input (kg N)</t>
  </si>
  <si>
    <t>Robinia Pseudoacacia</t>
  </si>
  <si>
    <t>Stikstof (kg N)</t>
  </si>
  <si>
    <t>Bron</t>
  </si>
  <si>
    <t>Black alder</t>
  </si>
  <si>
    <t>Stikstof depositie op de 5 hectaren per jaar</t>
  </si>
  <si>
    <t>Peters (2022)</t>
  </si>
  <si>
    <r>
      <t xml:space="preserve">Peters, J. (2022). </t>
    </r>
    <r>
      <rPr>
        <i/>
        <sz val="11"/>
        <rFont val="Calibri"/>
        <charset val="1"/>
      </rPr>
      <t xml:space="preserve">Understanding Carbon and Nitrogen Cycles to Enhance Circularity in Food Forestry Design </t>
    </r>
    <r>
      <rPr>
        <sz val="11"/>
        <rFont val="Calibri"/>
        <charset val="1"/>
      </rPr>
      <t>(Unpublished Master’s thesis). Wageningen University and Research, Wageningen. </t>
    </r>
  </si>
  <si>
    <t>N-fixing flowers (Lupinus angustifolius, Baptisia spp.)</t>
  </si>
  <si>
    <t>NUE</t>
  </si>
  <si>
    <t>Stikstofopname door 3 hectaren granen</t>
  </si>
  <si>
    <t>Boxem et al. (2006)</t>
  </si>
  <si>
    <t>Boxem, H. V., Buysse, G., Maes, B., Robinet, P., &amp; Williame, F. (2006). Handboek ecologisch tuinieren. Tiende druk. Velt vzw. </t>
  </si>
  <si>
    <t>Red clover</t>
  </si>
  <si>
    <t>Stikstofopname door 0,2 hectaren wintergroente</t>
  </si>
  <si>
    <t>Stikstof nodig voor de 0,8 hectaren tuinderij in Noord-Ede</t>
  </si>
  <si>
    <t>s. Introductie</t>
  </si>
  <si>
    <t>Stikstof in 1,8 hectaren rode klaver, die als bemesting voor de tuinderij wordt gebruikt</t>
  </si>
  <si>
    <t>Peoples et al. (1995) Pavlis (2022)</t>
  </si>
  <si>
    <t>N-deposition</t>
  </si>
  <si>
    <t>Net balans</t>
  </si>
  <si>
    <t>Sum</t>
  </si>
  <si>
    <t>Plant biomass/ leaves (m³)</t>
  </si>
  <si>
    <t>Plant biomass/ leaves (kg)</t>
  </si>
  <si>
    <t>Crop harvest (kg/10m²)</t>
  </si>
  <si>
    <t>N content (kg N/kg crop)</t>
  </si>
  <si>
    <t>Total N output (kg N)</t>
  </si>
  <si>
    <t>Leaves needed for 0.8 ha farm</t>
  </si>
  <si>
    <t>Reference for N content</t>
  </si>
  <si>
    <t>OR legumes needed for 0.8 ha farm</t>
  </si>
  <si>
    <t>https://www.jstor.org/stable/2471021</t>
  </si>
  <si>
    <t>Winter vegetables (cabbage)</t>
  </si>
  <si>
    <t>Fruits (apples)</t>
  </si>
  <si>
    <t>Nuts (almonds)</t>
  </si>
  <si>
    <t>Cereals (rye)</t>
  </si>
  <si>
    <t>Potatoes</t>
  </si>
  <si>
    <t>Extra calculations</t>
  </si>
  <si>
    <t>N needed by crops (kg N)</t>
  </si>
  <si>
    <t>N needed by crops with buffer (kg N)</t>
  </si>
  <si>
    <t>Apple yield per mature tree (kg)</t>
  </si>
  <si>
    <t>Nitrogen use efficiency of crops (cereals) (%)</t>
  </si>
  <si>
    <t>https://doi.org/10.2134/age2018.10.0045</t>
  </si>
  <si>
    <t>number of trees per 10m²</t>
  </si>
  <si>
    <t>Nitrogen use efficiency of crops (potatoes) (%)</t>
  </si>
  <si>
    <t>https://edepot.wur.nl/378131</t>
  </si>
  <si>
    <t>Average Nitrogen use efficiency</t>
  </si>
  <si>
    <t>Bemesting voor de 0.8 ha tuinderij</t>
  </si>
  <si>
    <t>Plant available nitrogen that must be added (kg N)</t>
  </si>
  <si>
    <t>Stikstof nodig voor groenten (kg N)</t>
  </si>
  <si>
    <t>Leaf litter that must be added to 0.8 ha farm (kg N) (25% of leaf litter's N volatilizes, 75% will be available to plants)</t>
  </si>
  <si>
    <t xml:space="preserve">stikstof vervluchting </t>
  </si>
  <si>
    <t>N-content of Acacia leaves (% dry weight)</t>
  </si>
  <si>
    <t>stikstof nodig inclusief verluchting (kg N)</t>
  </si>
  <si>
    <t>Leaf litter that must be added (kg dry weight)</t>
  </si>
  <si>
    <t>Leaf litter that must be added (kg fresh weight, assuming 40% moisture content)</t>
  </si>
  <si>
    <t>Dry leaf litter that must be added (m³)</t>
  </si>
  <si>
    <t>Fresh leaf litter that must be added (m³)</t>
  </si>
  <si>
    <t>avg</t>
  </si>
  <si>
    <t>Acacia mangium N fixation (kg N/year/ha)</t>
  </si>
  <si>
    <t>N content in leaves (%)</t>
  </si>
  <si>
    <t>leaf biomass (t/ha/yr)</t>
  </si>
  <si>
    <t>mg NO2-/ 100g  fresh weight</t>
  </si>
  <si>
    <t>mg NO3-/ 100 g fresh weight</t>
  </si>
  <si>
    <t>g NO2-/ g fresh weight</t>
  </si>
  <si>
    <t>g NO3-/ g fresh weight</t>
  </si>
  <si>
    <t>conversion factor nitrite</t>
  </si>
  <si>
    <t>conversion factor nitrate</t>
  </si>
  <si>
    <t>g N/g fresh weight</t>
  </si>
  <si>
    <t>g N/kg fresh weight</t>
  </si>
  <si>
    <t>Wheat</t>
  </si>
  <si>
    <t>Barley</t>
  </si>
  <si>
    <t>Almond</t>
  </si>
  <si>
    <t>Apple</t>
  </si>
  <si>
    <t>Apricot</t>
  </si>
  <si>
    <t>Pear</t>
  </si>
  <si>
    <t>Cherry</t>
  </si>
  <si>
    <t>Plum</t>
  </si>
  <si>
    <t>Soya</t>
  </si>
  <si>
    <t>mg NO3-/mg fresh weight</t>
  </si>
  <si>
    <t>mg N-NO3-/mg fresh weight</t>
  </si>
  <si>
    <t>Scenario 2 (at year 1)</t>
  </si>
  <si>
    <t>Pond</t>
  </si>
  <si>
    <t>Scenario 2 (at year 10)</t>
  </si>
  <si>
    <t>N-fixing flowers (Lupinus polyphyllus, Baptisia australis)</t>
  </si>
  <si>
    <t>Number of N fixing trees</t>
  </si>
  <si>
    <t>Number of apple and nut trees</t>
  </si>
  <si>
    <t>Apple yield (kg)</t>
  </si>
  <si>
    <t>number of trees per ha in an orchard</t>
  </si>
  <si>
    <t>number of trees per ha in a forest</t>
  </si>
  <si>
    <t>Bioavailable nitrate in soil</t>
  </si>
  <si>
    <t>Measured with a Refrectometer</t>
  </si>
  <si>
    <t>mg N/L analysis solution</t>
  </si>
  <si>
    <t>soil weight (g)</t>
  </si>
  <si>
    <t>mg N/g soil</t>
  </si>
  <si>
    <t>Average (mg N/g soil)</t>
  </si>
  <si>
    <t>kg N/ha</t>
  </si>
  <si>
    <t>analysis solution (L)</t>
  </si>
  <si>
    <t>Potting soil 1</t>
  </si>
  <si>
    <t>bulk density (g/m³)</t>
  </si>
  <si>
    <t>Potting soil 2</t>
  </si>
  <si>
    <t>rooting depth (m)</t>
  </si>
  <si>
    <t>Leaf litter 1</t>
  </si>
  <si>
    <t>hectare (m²)</t>
  </si>
  <si>
    <t>Leaf litter 2</t>
  </si>
  <si>
    <t>Field soil 1</t>
  </si>
  <si>
    <t>Field soil 2</t>
  </si>
  <si>
    <t>Compost 1</t>
  </si>
  <si>
    <t>Compost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</si>
</sst>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000"/>
    <numFmt numFmtId="166" formatCode="0.00000000000"/>
    <numFmt numFmtId="167" formatCode="0.0"/>
  </numFmts>
  <fonts count="17">
    <font>
      <sz val="11"/>
      <color rgb="FF000000"/>
      <name val="Calibri"/>
      <scheme val="minor"/>
    </font>
    <font>
      <b/>
      <sz val="11"/>
      <color rgb="FF000000"/>
      <name val="Calibri"/>
      <family val="2"/>
      <scheme val="minor"/>
    </font>
    <font>
      <sz val="11"/>
      <color rgb="FF000000"/>
      <name val="Calibri"/>
      <family val="2"/>
      <scheme val="minor"/>
    </font>
    <font>
      <u/>
      <sz val="11"/>
      <color theme="10"/>
      <name val="Calibri"/>
      <scheme val="minor"/>
    </font>
    <font>
      <sz val="11"/>
      <color rgb="FF000000"/>
      <name val="Calibri"/>
      <family val="2"/>
      <charset val="1"/>
    </font>
    <font>
      <b/>
      <sz val="11"/>
      <color rgb="FF000000"/>
      <name val="Calibri"/>
      <scheme val="minor"/>
    </font>
    <font>
      <sz val="11"/>
      <color rgb="FF000000"/>
      <name val="Calibri"/>
      <charset val="1"/>
    </font>
    <font>
      <sz val="10"/>
      <color rgb="FF222222"/>
      <name val="Arial"/>
      <family val="2"/>
    </font>
    <font>
      <i/>
      <sz val="10"/>
      <color rgb="FF222222"/>
      <name val="Arial"/>
      <family val="2"/>
    </font>
    <font>
      <sz val="11"/>
      <color rgb="FFFF0000"/>
      <name val="Calibri"/>
      <scheme val="minor"/>
    </font>
    <font>
      <i/>
      <sz val="11"/>
      <color rgb="FF000000"/>
      <name val="Calibri"/>
      <scheme val="minor"/>
    </font>
    <font>
      <sz val="11"/>
      <name val="Calibri"/>
      <charset val="1"/>
    </font>
    <font>
      <sz val="11"/>
      <color rgb="FF9B2D1F"/>
      <name val="Calibri"/>
      <charset val="1"/>
    </font>
    <font>
      <b/>
      <sz val="11"/>
      <color rgb="FF9B2D1F"/>
      <name val="Calibri"/>
      <charset val="1"/>
    </font>
    <font>
      <sz val="11"/>
      <name val="WordVisiCarriageReturn_MSFontSe"/>
      <charset val="1"/>
    </font>
    <font>
      <b/>
      <i/>
      <sz val="11"/>
      <color rgb="FF000000"/>
      <name val="Calibri"/>
      <family val="2"/>
      <scheme val="minor"/>
    </font>
    <font>
      <i/>
      <sz val="11"/>
      <name val="Calibri"/>
      <charset val="1"/>
    </font>
  </fonts>
  <fills count="8">
    <fill>
      <patternFill patternType="none"/>
    </fill>
    <fill>
      <patternFill patternType="gray125"/>
    </fill>
    <fill>
      <patternFill patternType="solid">
        <fgColor rgb="FF70AD47"/>
        <bgColor indexed="64"/>
      </patternFill>
    </fill>
    <fill>
      <patternFill patternType="solid">
        <fgColor rgb="FFE7E6E6"/>
        <bgColor indexed="64"/>
      </patternFill>
    </fill>
    <fill>
      <patternFill patternType="solid">
        <fgColor theme="0"/>
        <bgColor indexed="64"/>
      </patternFill>
    </fill>
    <fill>
      <patternFill patternType="solid">
        <fgColor theme="5"/>
        <bgColor indexed="64"/>
      </patternFill>
    </fill>
    <fill>
      <patternFill patternType="solid">
        <fgColor theme="5" tint="0.79998168889431442"/>
        <bgColor indexed="64"/>
      </patternFill>
    </fill>
    <fill>
      <patternFill patternType="solid">
        <fgColor theme="5" tint="0.39997558519241921"/>
        <bgColor indexed="64"/>
      </patternFill>
    </fill>
  </fills>
  <borders count="7">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s>
  <cellStyleXfs count="2">
    <xf numFmtId="0" fontId="0" fillId="0" borderId="0"/>
    <xf numFmtId="0" fontId="3" fillId="0" borderId="0" applyNumberFormat="0" applyFill="0" applyBorder="0" applyAlignment="0" applyProtection="0"/>
  </cellStyleXfs>
  <cellXfs count="80">
    <xf numFmtId="0" fontId="0" fillId="0" borderId="0" xfId="0"/>
    <xf numFmtId="1" fontId="0" fillId="0" borderId="0" xfId="0" applyNumberFormat="1"/>
    <xf numFmtId="0" fontId="0" fillId="0" borderId="0" xfId="0" applyAlignment="1">
      <alignment wrapText="1"/>
    </xf>
    <xf numFmtId="0" fontId="1" fillId="0" borderId="0" xfId="0" applyFont="1" applyAlignment="1">
      <alignment horizontal="center"/>
    </xf>
    <xf numFmtId="0" fontId="2" fillId="0" borderId="0" xfId="0" applyFont="1"/>
    <xf numFmtId="0" fontId="2" fillId="0" borderId="0" xfId="0" quotePrefix="1" applyFont="1"/>
    <xf numFmtId="0" fontId="2" fillId="0" borderId="0" xfId="0" applyFont="1" applyAlignment="1">
      <alignment horizontal="right"/>
    </xf>
    <xf numFmtId="0" fontId="0" fillId="0" borderId="0" xfId="0" quotePrefix="1"/>
    <xf numFmtId="0" fontId="0" fillId="0" borderId="0" xfId="0" applyAlignment="1">
      <alignment horizontal="left"/>
    </xf>
    <xf numFmtId="0" fontId="2" fillId="0" borderId="0" xfId="0" applyFont="1" applyAlignment="1">
      <alignment horizontal="left"/>
    </xf>
    <xf numFmtId="0" fontId="3" fillId="0" borderId="0" xfId="1"/>
    <xf numFmtId="0" fontId="0" fillId="0" borderId="0" xfId="0" applyAlignment="1">
      <alignment vertical="center"/>
    </xf>
    <xf numFmtId="0" fontId="2" fillId="0" borderId="1" xfId="0" quotePrefix="1" applyFont="1" applyBorder="1" applyAlignment="1">
      <alignment horizontal="left" vertical="center"/>
    </xf>
    <xf numFmtId="0" fontId="0" fillId="0" borderId="0" xfId="0" applyAlignment="1">
      <alignment horizontal="center"/>
    </xf>
    <xf numFmtId="0" fontId="0" fillId="0" borderId="1" xfId="0" applyBorder="1"/>
    <xf numFmtId="0" fontId="2" fillId="0" borderId="2" xfId="0" applyFont="1" applyBorder="1"/>
    <xf numFmtId="0" fontId="0" fillId="0" borderId="2" xfId="0" applyBorder="1"/>
    <xf numFmtId="0" fontId="3" fillId="0" borderId="2" xfId="1" applyBorder="1"/>
    <xf numFmtId="0" fontId="4" fillId="0" borderId="2" xfId="0" applyFont="1" applyBorder="1"/>
    <xf numFmtId="0" fontId="2" fillId="0" borderId="1" xfId="0" applyFont="1" applyBorder="1"/>
    <xf numFmtId="0" fontId="5" fillId="0" borderId="0" xfId="0" applyFont="1"/>
    <xf numFmtId="0" fontId="6" fillId="0" borderId="0" xfId="0" applyFont="1"/>
    <xf numFmtId="10" fontId="0" fillId="0" borderId="0" xfId="0" applyNumberFormat="1"/>
    <xf numFmtId="10" fontId="0" fillId="0" borderId="0" xfId="0" applyNumberFormat="1" applyAlignment="1">
      <alignment wrapText="1"/>
    </xf>
    <xf numFmtId="0" fontId="7" fillId="0" borderId="0" xfId="0" applyFont="1"/>
    <xf numFmtId="0" fontId="5" fillId="0" borderId="0" xfId="0" applyFont="1" applyAlignment="1">
      <alignment horizontal="center" vertical="center" wrapText="1"/>
    </xf>
    <xf numFmtId="0" fontId="0" fillId="2" borderId="0" xfId="0" applyFill="1"/>
    <xf numFmtId="0" fontId="5" fillId="2" borderId="0" xfId="0" applyFont="1" applyFill="1"/>
    <xf numFmtId="49" fontId="0" fillId="0" borderId="0" xfId="0" applyNumberFormat="1"/>
    <xf numFmtId="0" fontId="9" fillId="0" borderId="0" xfId="0" applyFont="1"/>
    <xf numFmtId="2" fontId="0" fillId="0" borderId="0" xfId="0" applyNumberFormat="1"/>
    <xf numFmtId="0" fontId="10" fillId="0" borderId="0" xfId="0" applyFont="1" applyAlignment="1">
      <alignment horizontal="right"/>
    </xf>
    <xf numFmtId="0" fontId="11" fillId="0" borderId="0" xfId="0" applyFont="1"/>
    <xf numFmtId="0" fontId="11" fillId="0" borderId="0" xfId="0" quotePrefix="1" applyFont="1"/>
    <xf numFmtId="0" fontId="6" fillId="0" borderId="0" xfId="0" applyFont="1" applyAlignment="1">
      <alignment readingOrder="1"/>
    </xf>
    <xf numFmtId="0" fontId="0" fillId="0" borderId="0" xfId="0" applyAlignment="1">
      <alignment horizontal="center" vertical="center" wrapText="1"/>
    </xf>
    <xf numFmtId="0" fontId="10" fillId="0" borderId="0" xfId="0" applyFont="1"/>
    <xf numFmtId="2" fontId="0" fillId="0" borderId="0" xfId="0" applyNumberFormat="1" applyAlignment="1">
      <alignment wrapText="1"/>
    </xf>
    <xf numFmtId="0" fontId="0" fillId="0" borderId="0" xfId="0" applyAlignment="1">
      <alignment horizontal="left" vertical="center"/>
    </xf>
    <xf numFmtId="0" fontId="0" fillId="0" borderId="1" xfId="0" applyBorder="1" applyAlignment="1">
      <alignment horizontal="center" vertical="center" wrapText="1"/>
    </xf>
    <xf numFmtId="10" fontId="0" fillId="0" borderId="1" xfId="0" applyNumberFormat="1" applyBorder="1"/>
    <xf numFmtId="0" fontId="10" fillId="3" borderId="2" xfId="0" applyFont="1" applyFill="1" applyBorder="1"/>
    <xf numFmtId="0" fontId="0" fillId="3" borderId="2" xfId="0" applyFill="1" applyBorder="1" applyAlignment="1">
      <alignment horizontal="center" vertical="center" wrapText="1"/>
    </xf>
    <xf numFmtId="0" fontId="0" fillId="3" borderId="2" xfId="0" applyFill="1" applyBorder="1" applyAlignment="1">
      <alignment wrapText="1"/>
    </xf>
    <xf numFmtId="0" fontId="0" fillId="3" borderId="2" xfId="0" applyFill="1" applyBorder="1"/>
    <xf numFmtId="0" fontId="10" fillId="3" borderId="2" xfId="0" applyFont="1" applyFill="1" applyBorder="1" applyAlignment="1">
      <alignment vertical="center"/>
    </xf>
    <xf numFmtId="0" fontId="0" fillId="3" borderId="2" xfId="0" applyFill="1" applyBorder="1" applyAlignment="1">
      <alignment horizontal="center" vertical="center"/>
    </xf>
    <xf numFmtId="0" fontId="2" fillId="4" borderId="0" xfId="0" applyFont="1" applyFill="1"/>
    <xf numFmtId="1" fontId="0" fillId="0" borderId="2" xfId="0" applyNumberFormat="1" applyBorder="1"/>
    <xf numFmtId="0" fontId="0" fillId="3" borderId="2" xfId="0" applyFill="1" applyBorder="1" applyAlignment="1">
      <alignment vertical="top" wrapText="1"/>
    </xf>
    <xf numFmtId="1" fontId="0" fillId="3" borderId="2" xfId="0" applyNumberFormat="1" applyFill="1" applyBorder="1"/>
    <xf numFmtId="165" fontId="0" fillId="0" borderId="0" xfId="0" applyNumberFormat="1"/>
    <xf numFmtId="166" fontId="0" fillId="0" borderId="0" xfId="0" applyNumberFormat="1"/>
    <xf numFmtId="0" fontId="0" fillId="0" borderId="3" xfId="0" applyBorder="1"/>
    <xf numFmtId="0" fontId="0" fillId="0" borderId="4" xfId="0" applyBorder="1"/>
    <xf numFmtId="0" fontId="1" fillId="0" borderId="0" xfId="0" applyFont="1"/>
    <xf numFmtId="0" fontId="2" fillId="6" borderId="2" xfId="0" applyFont="1" applyFill="1" applyBorder="1"/>
    <xf numFmtId="0" fontId="0" fillId="6" borderId="2" xfId="0" applyFill="1" applyBorder="1"/>
    <xf numFmtId="0" fontId="0" fillId="6" borderId="3" xfId="0" applyFill="1" applyBorder="1"/>
    <xf numFmtId="0" fontId="0" fillId="6" borderId="4" xfId="0" applyFill="1" applyBorder="1"/>
    <xf numFmtId="0" fontId="0" fillId="6" borderId="2" xfId="0" applyFill="1" applyBorder="1" applyAlignment="1">
      <alignment horizontal="center" vertical="center"/>
    </xf>
    <xf numFmtId="0" fontId="0" fillId="6" borderId="2" xfId="0" applyFill="1" applyBorder="1" applyAlignment="1">
      <alignment horizontal="center" vertical="center" wrapText="1"/>
    </xf>
    <xf numFmtId="0" fontId="15" fillId="5" borderId="2" xfId="0" applyFont="1" applyFill="1" applyBorder="1" applyAlignment="1">
      <alignment horizontal="center" vertical="center"/>
    </xf>
    <xf numFmtId="0" fontId="0" fillId="6" borderId="2" xfId="0" applyFill="1" applyBorder="1" applyAlignment="1">
      <alignment vertical="top" wrapText="1"/>
    </xf>
    <xf numFmtId="0" fontId="0" fillId="6" borderId="2" xfId="0" applyFill="1" applyBorder="1" applyAlignment="1">
      <alignment wrapText="1"/>
    </xf>
    <xf numFmtId="0" fontId="2" fillId="6" borderId="2" xfId="0" applyFont="1" applyFill="1" applyBorder="1" applyAlignment="1">
      <alignment horizontal="center" vertical="center" wrapText="1"/>
    </xf>
    <xf numFmtId="0" fontId="0" fillId="5" borderId="2" xfId="0" applyFill="1" applyBorder="1"/>
    <xf numFmtId="164" fontId="0" fillId="7" borderId="2" xfId="0" applyNumberFormat="1" applyFill="1" applyBorder="1"/>
    <xf numFmtId="1" fontId="0" fillId="7" borderId="4" xfId="0" applyNumberFormat="1" applyFill="1" applyBorder="1"/>
    <xf numFmtId="0" fontId="0" fillId="0" borderId="6" xfId="0" applyBorder="1"/>
    <xf numFmtId="0" fontId="0" fillId="6" borderId="5" xfId="0" applyFill="1" applyBorder="1"/>
    <xf numFmtId="1" fontId="0" fillId="7" borderId="2" xfId="0" applyNumberFormat="1" applyFill="1" applyBorder="1"/>
    <xf numFmtId="0" fontId="2" fillId="4" borderId="0" xfId="0" quotePrefix="1" applyFont="1" applyFill="1"/>
    <xf numFmtId="2" fontId="0" fillId="0" borderId="2" xfId="0" applyNumberFormat="1" applyBorder="1"/>
    <xf numFmtId="9" fontId="0" fillId="0" borderId="2" xfId="0" applyNumberFormat="1" applyBorder="1"/>
    <xf numFmtId="167" fontId="0" fillId="0" borderId="0" xfId="0" applyNumberFormat="1"/>
    <xf numFmtId="0" fontId="5" fillId="0" borderId="0" xfId="0" applyFont="1" applyAlignment="1">
      <alignment horizontal="center" vertical="center" wrapText="1"/>
    </xf>
    <xf numFmtId="0" fontId="0" fillId="0" borderId="0" xfId="0" applyAlignment="1">
      <alignment horizontal="center"/>
    </xf>
    <xf numFmtId="0" fontId="5" fillId="0" borderId="0" xfId="0" applyFont="1" applyAlignment="1">
      <alignment horizontal="center"/>
    </xf>
    <xf numFmtId="0" fontId="5" fillId="0" borderId="0" xfId="0" applyFont="1" applyAlignment="1">
      <alignment horizontal="center" vertical="center"/>
    </xf>
  </cellXfs>
  <cellStyles count="2">
    <cellStyle name="Hyperlink" xfId="1" xr:uid="{00000000-000B-0000-0000-000008000000}"/>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customschemas.google.com/relationships/workbookmetadata" Target="metadata"/><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25" Type="http://schemas.openxmlformats.org/officeDocument/2006/relationships/customXml" Target="../customXml/item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4" Type="http://schemas.openxmlformats.org/officeDocument/2006/relationships/customXml" Target="../customXml/item1.xml"/><Relationship Id="rId5" Type="http://schemas.openxmlformats.org/officeDocument/2006/relationships/worksheet" Target="worksheets/sheet5.xml"/><Relationship Id="rId23" Type="http://schemas.openxmlformats.org/officeDocument/2006/relationships/calcChain" Target="calcChain.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mp"/></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9.jpe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14</xdr:col>
      <xdr:colOff>542925</xdr:colOff>
      <xdr:row>37</xdr:row>
      <xdr:rowOff>180975</xdr:rowOff>
    </xdr:from>
    <xdr:to>
      <xdr:col>35</xdr:col>
      <xdr:colOff>409575</xdr:colOff>
      <xdr:row>76</xdr:row>
      <xdr:rowOff>95250</xdr:rowOff>
    </xdr:to>
    <xdr:pic>
      <xdr:nvPicPr>
        <xdr:cNvPr id="2" name="Picture 1">
          <a:extLst>
            <a:ext uri="{FF2B5EF4-FFF2-40B4-BE49-F238E27FC236}">
              <a16:creationId xmlns:a16="http://schemas.microsoft.com/office/drawing/2014/main" id="{F0F53D89-61E2-95BA-50CE-A641F9F23CC6}"/>
            </a:ext>
          </a:extLst>
        </xdr:cNvPr>
        <xdr:cNvPicPr>
          <a:picLocks noChangeAspect="1"/>
        </xdr:cNvPicPr>
      </xdr:nvPicPr>
      <xdr:blipFill>
        <a:blip xmlns:r="http://schemas.openxmlformats.org/officeDocument/2006/relationships" r:embed="rId1"/>
        <a:stretch>
          <a:fillRect/>
        </a:stretch>
      </xdr:blipFill>
      <xdr:spPr>
        <a:xfrm>
          <a:off x="15678150" y="7038975"/>
          <a:ext cx="13068300" cy="7343775"/>
        </a:xfrm>
        <a:prstGeom prst="rect">
          <a:avLst/>
        </a:prstGeom>
      </xdr:spPr>
    </xdr:pic>
    <xdr:clientData/>
  </xdr:twoCellAnchor>
  <xdr:twoCellAnchor editAs="oneCell">
    <xdr:from>
      <xdr:col>0</xdr:col>
      <xdr:colOff>0</xdr:colOff>
      <xdr:row>155</xdr:row>
      <xdr:rowOff>0</xdr:rowOff>
    </xdr:from>
    <xdr:to>
      <xdr:col>3</xdr:col>
      <xdr:colOff>1638300</xdr:colOff>
      <xdr:row>174</xdr:row>
      <xdr:rowOff>133350</xdr:rowOff>
    </xdr:to>
    <xdr:pic>
      <xdr:nvPicPr>
        <xdr:cNvPr id="3" name="Picture 2">
          <a:extLst>
            <a:ext uri="{FF2B5EF4-FFF2-40B4-BE49-F238E27FC236}">
              <a16:creationId xmlns:a16="http://schemas.microsoft.com/office/drawing/2014/main" id="{BB2AA480-B5CF-5682-4ACD-485E859A9C79}"/>
            </a:ext>
            <a:ext uri="{147F2762-F138-4A5C-976F-8EAC2B608ADB}">
              <a16:predDERef xmlns:a16="http://schemas.microsoft.com/office/drawing/2014/main" pred="{F0F53D89-61E2-95BA-50CE-A641F9F23CC6}"/>
            </a:ext>
          </a:extLst>
        </xdr:cNvPr>
        <xdr:cNvPicPr>
          <a:picLocks noChangeAspect="1"/>
        </xdr:cNvPicPr>
      </xdr:nvPicPr>
      <xdr:blipFill>
        <a:blip xmlns:r="http://schemas.openxmlformats.org/officeDocument/2006/relationships" r:embed="rId2"/>
        <a:stretch>
          <a:fillRect/>
        </a:stretch>
      </xdr:blipFill>
      <xdr:spPr>
        <a:xfrm>
          <a:off x="0" y="29527500"/>
          <a:ext cx="4857750" cy="3752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552450</xdr:colOff>
      <xdr:row>31</xdr:row>
      <xdr:rowOff>161925</xdr:rowOff>
    </xdr:from>
    <xdr:to>
      <xdr:col>23</xdr:col>
      <xdr:colOff>514350</xdr:colOff>
      <xdr:row>44</xdr:row>
      <xdr:rowOff>85725</xdr:rowOff>
    </xdr:to>
    <xdr:pic>
      <xdr:nvPicPr>
        <xdr:cNvPr id="4" name="Picture 1">
          <a:extLst>
            <a:ext uri="{FF2B5EF4-FFF2-40B4-BE49-F238E27FC236}">
              <a16:creationId xmlns:a16="http://schemas.microsoft.com/office/drawing/2014/main" id="{FB7C908C-4220-A3CD-B928-F825B77D7980}"/>
            </a:ext>
          </a:extLst>
        </xdr:cNvPr>
        <xdr:cNvPicPr>
          <a:picLocks noChangeAspect="1"/>
        </xdr:cNvPicPr>
      </xdr:nvPicPr>
      <xdr:blipFill>
        <a:blip xmlns:r="http://schemas.openxmlformats.org/officeDocument/2006/relationships" r:embed="rId1"/>
        <a:stretch>
          <a:fillRect/>
        </a:stretch>
      </xdr:blipFill>
      <xdr:spPr>
        <a:xfrm>
          <a:off x="8334375" y="4162425"/>
          <a:ext cx="7886700" cy="2400300"/>
        </a:xfrm>
        <a:prstGeom prst="rect">
          <a:avLst/>
        </a:prstGeom>
      </xdr:spPr>
    </xdr:pic>
    <xdr:clientData/>
  </xdr:twoCellAnchor>
  <xdr:twoCellAnchor editAs="oneCell">
    <xdr:from>
      <xdr:col>26</xdr:col>
      <xdr:colOff>0</xdr:colOff>
      <xdr:row>32</xdr:row>
      <xdr:rowOff>0</xdr:rowOff>
    </xdr:from>
    <xdr:to>
      <xdr:col>33</xdr:col>
      <xdr:colOff>304800</xdr:colOff>
      <xdr:row>44</xdr:row>
      <xdr:rowOff>114300</xdr:rowOff>
    </xdr:to>
    <xdr:pic>
      <xdr:nvPicPr>
        <xdr:cNvPr id="5" name="Picture 4">
          <a:extLst>
            <a:ext uri="{FF2B5EF4-FFF2-40B4-BE49-F238E27FC236}">
              <a16:creationId xmlns:a16="http://schemas.microsoft.com/office/drawing/2014/main" id="{675A3644-2DE9-451B-05ED-9A4FE5175F8D}"/>
            </a:ext>
            <a:ext uri="{147F2762-F138-4A5C-976F-8EAC2B608ADB}">
              <a16:predDERef xmlns:a16="http://schemas.microsoft.com/office/drawing/2014/main" pred="{FB7C908C-4220-A3CD-B928-F825B77D7980}"/>
            </a:ext>
          </a:extLst>
        </xdr:cNvPr>
        <xdr:cNvPicPr>
          <a:picLocks noChangeAspect="1"/>
        </xdr:cNvPicPr>
      </xdr:nvPicPr>
      <xdr:blipFill>
        <a:blip xmlns:r="http://schemas.openxmlformats.org/officeDocument/2006/relationships" r:embed="rId2"/>
        <a:stretch>
          <a:fillRect/>
        </a:stretch>
      </xdr:blipFill>
      <xdr:spPr>
        <a:xfrm>
          <a:off x="17535525" y="4381500"/>
          <a:ext cx="4572000" cy="2400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228600</xdr:colOff>
      <xdr:row>2</xdr:row>
      <xdr:rowOff>38100</xdr:rowOff>
    </xdr:from>
    <xdr:to>
      <xdr:col>21</xdr:col>
      <xdr:colOff>57150</xdr:colOff>
      <xdr:row>21</xdr:row>
      <xdr:rowOff>66675</xdr:rowOff>
    </xdr:to>
    <xdr:pic>
      <xdr:nvPicPr>
        <xdr:cNvPr id="2" name="Picture 1">
          <a:extLst>
            <a:ext uri="{FF2B5EF4-FFF2-40B4-BE49-F238E27FC236}">
              <a16:creationId xmlns:a16="http://schemas.microsoft.com/office/drawing/2014/main" id="{57DA3813-7325-227C-DCA9-6B498ED0E494}"/>
            </a:ext>
          </a:extLst>
        </xdr:cNvPr>
        <xdr:cNvPicPr>
          <a:picLocks noChangeAspect="1"/>
        </xdr:cNvPicPr>
      </xdr:nvPicPr>
      <xdr:blipFill>
        <a:blip xmlns:r="http://schemas.openxmlformats.org/officeDocument/2006/relationships" r:embed="rId1"/>
        <a:stretch>
          <a:fillRect/>
        </a:stretch>
      </xdr:blipFill>
      <xdr:spPr>
        <a:xfrm>
          <a:off x="7943850" y="419100"/>
          <a:ext cx="7143750" cy="3648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95250</xdr:colOff>
      <xdr:row>40</xdr:row>
      <xdr:rowOff>180975</xdr:rowOff>
    </xdr:from>
    <xdr:to>
      <xdr:col>23</xdr:col>
      <xdr:colOff>561975</xdr:colOff>
      <xdr:row>63</xdr:row>
      <xdr:rowOff>38100</xdr:rowOff>
    </xdr:to>
    <xdr:pic>
      <xdr:nvPicPr>
        <xdr:cNvPr id="4" name="Picture 3">
          <a:extLst>
            <a:ext uri="{FF2B5EF4-FFF2-40B4-BE49-F238E27FC236}">
              <a16:creationId xmlns:a16="http://schemas.microsoft.com/office/drawing/2014/main" id="{8B5F568D-0818-19E4-3F63-689BCFCD933D}"/>
            </a:ext>
            <a:ext uri="{147F2762-F138-4A5C-976F-8EAC2B608ADB}">
              <a16:predDERef xmlns:a16="http://schemas.microsoft.com/office/drawing/2014/main" pred="{A42C8405-C6D8-23A9-B2B6-7695E3BBB504}"/>
            </a:ext>
          </a:extLst>
        </xdr:cNvPr>
        <xdr:cNvPicPr>
          <a:picLocks noChangeAspect="1"/>
        </xdr:cNvPicPr>
      </xdr:nvPicPr>
      <xdr:blipFill>
        <a:blip xmlns:r="http://schemas.openxmlformats.org/officeDocument/2006/relationships" r:embed="rId1"/>
        <a:stretch>
          <a:fillRect/>
        </a:stretch>
      </xdr:blipFill>
      <xdr:spPr>
        <a:xfrm>
          <a:off x="11877675" y="8315325"/>
          <a:ext cx="10239375" cy="4238625"/>
        </a:xfrm>
        <a:prstGeom prst="rect">
          <a:avLst/>
        </a:prstGeom>
      </xdr:spPr>
    </xdr:pic>
    <xdr:clientData/>
  </xdr:twoCellAnchor>
  <xdr:twoCellAnchor editAs="oneCell">
    <xdr:from>
      <xdr:col>0</xdr:col>
      <xdr:colOff>419100</xdr:colOff>
      <xdr:row>44</xdr:row>
      <xdr:rowOff>152400</xdr:rowOff>
    </xdr:from>
    <xdr:to>
      <xdr:col>7</xdr:col>
      <xdr:colOff>638175</xdr:colOff>
      <xdr:row>68</xdr:row>
      <xdr:rowOff>19050</xdr:rowOff>
    </xdr:to>
    <xdr:pic>
      <xdr:nvPicPr>
        <xdr:cNvPr id="6" name="Afbeelding 7">
          <a:extLst>
            <a:ext uri="{FF2B5EF4-FFF2-40B4-BE49-F238E27FC236}">
              <a16:creationId xmlns:a16="http://schemas.microsoft.com/office/drawing/2014/main" id="{DBA22E24-572B-0448-34CB-F37D832123C6}"/>
            </a:ext>
            <a:ext uri="{147F2762-F138-4A5C-976F-8EAC2B608ADB}">
              <a16:predDERef xmlns:a16="http://schemas.microsoft.com/office/drawing/2014/main" pred="{8B5F568D-0818-19E4-3F63-689BCFCD933D}"/>
            </a:ext>
          </a:extLst>
        </xdr:cNvPr>
        <xdr:cNvPicPr>
          <a:picLocks noChangeAspect="1"/>
        </xdr:cNvPicPr>
      </xdr:nvPicPr>
      <xdr:blipFill>
        <a:blip xmlns:r="http://schemas.openxmlformats.org/officeDocument/2006/relationships" r:embed="rId2"/>
        <a:stretch>
          <a:fillRect/>
        </a:stretch>
      </xdr:blipFill>
      <xdr:spPr>
        <a:xfrm>
          <a:off x="419100" y="9296400"/>
          <a:ext cx="7886700" cy="4438650"/>
        </a:xfrm>
        <a:prstGeom prst="rect">
          <a:avLst/>
        </a:prstGeom>
      </xdr:spPr>
    </xdr:pic>
    <xdr:clientData/>
  </xdr:twoCellAnchor>
  <xdr:twoCellAnchor editAs="oneCell">
    <xdr:from>
      <xdr:col>1</xdr:col>
      <xdr:colOff>476250</xdr:colOff>
      <xdr:row>68</xdr:row>
      <xdr:rowOff>180975</xdr:rowOff>
    </xdr:from>
    <xdr:to>
      <xdr:col>7</xdr:col>
      <xdr:colOff>190500</xdr:colOff>
      <xdr:row>88</xdr:row>
      <xdr:rowOff>180975</xdr:rowOff>
    </xdr:to>
    <xdr:pic>
      <xdr:nvPicPr>
        <xdr:cNvPr id="9" name="Afbeelding 10">
          <a:extLst>
            <a:ext uri="{FF2B5EF4-FFF2-40B4-BE49-F238E27FC236}">
              <a16:creationId xmlns:a16="http://schemas.microsoft.com/office/drawing/2014/main" id="{3A6CFF12-96F1-10E4-FE16-1C5B89F77C88}"/>
            </a:ext>
            <a:ext uri="{147F2762-F138-4A5C-976F-8EAC2B608ADB}">
              <a16:predDERef xmlns:a16="http://schemas.microsoft.com/office/drawing/2014/main" pred="{DBA22E24-572B-0448-34CB-F37D832123C6}"/>
            </a:ext>
          </a:extLst>
        </xdr:cNvPr>
        <xdr:cNvPicPr>
          <a:picLocks noChangeAspect="1"/>
        </xdr:cNvPicPr>
      </xdr:nvPicPr>
      <xdr:blipFill>
        <a:blip xmlns:r="http://schemas.openxmlformats.org/officeDocument/2006/relationships" r:embed="rId3"/>
        <a:stretch>
          <a:fillRect/>
        </a:stretch>
      </xdr:blipFill>
      <xdr:spPr>
        <a:xfrm>
          <a:off x="1085850" y="13896975"/>
          <a:ext cx="6772275" cy="381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0</xdr:colOff>
      <xdr:row>25</xdr:row>
      <xdr:rowOff>0</xdr:rowOff>
    </xdr:from>
    <xdr:to>
      <xdr:col>23</xdr:col>
      <xdr:colOff>514350</xdr:colOff>
      <xdr:row>47</xdr:row>
      <xdr:rowOff>47625</xdr:rowOff>
    </xdr:to>
    <xdr:pic>
      <xdr:nvPicPr>
        <xdr:cNvPr id="3" name="Picture 3">
          <a:extLst>
            <a:ext uri="{FF2B5EF4-FFF2-40B4-BE49-F238E27FC236}">
              <a16:creationId xmlns:a16="http://schemas.microsoft.com/office/drawing/2014/main" id="{3057AAEA-CE62-4CF8-9238-3641F982F69A}"/>
            </a:ext>
            <a:ext uri="{147F2762-F138-4A5C-976F-8EAC2B608ADB}">
              <a16:predDERef xmlns:a16="http://schemas.microsoft.com/office/drawing/2014/main" pred="{A42C8405-C6D8-23A9-B2B6-7695E3BBB504}"/>
            </a:ext>
          </a:extLst>
        </xdr:cNvPr>
        <xdr:cNvPicPr>
          <a:picLocks noChangeAspect="1"/>
        </xdr:cNvPicPr>
      </xdr:nvPicPr>
      <xdr:blipFill>
        <a:blip xmlns:r="http://schemas.openxmlformats.org/officeDocument/2006/relationships" r:embed="rId1"/>
        <a:stretch>
          <a:fillRect/>
        </a:stretch>
      </xdr:blipFill>
      <xdr:spPr>
        <a:xfrm>
          <a:off x="10563225" y="5524500"/>
          <a:ext cx="10239375" cy="4238625"/>
        </a:xfrm>
        <a:prstGeom prst="rect">
          <a:avLst/>
        </a:prstGeom>
      </xdr:spPr>
    </xdr:pic>
    <xdr:clientData/>
  </xdr:twoCellAnchor>
  <xdr:twoCellAnchor editAs="oneCell">
    <xdr:from>
      <xdr:col>0</xdr:col>
      <xdr:colOff>419100</xdr:colOff>
      <xdr:row>44</xdr:row>
      <xdr:rowOff>152400</xdr:rowOff>
    </xdr:from>
    <xdr:to>
      <xdr:col>7</xdr:col>
      <xdr:colOff>638175</xdr:colOff>
      <xdr:row>68</xdr:row>
      <xdr:rowOff>19050</xdr:rowOff>
    </xdr:to>
    <xdr:pic>
      <xdr:nvPicPr>
        <xdr:cNvPr id="4" name="Afbeelding 7">
          <a:extLst>
            <a:ext uri="{FF2B5EF4-FFF2-40B4-BE49-F238E27FC236}">
              <a16:creationId xmlns:a16="http://schemas.microsoft.com/office/drawing/2014/main" id="{8E5E9DA6-603F-4519-AA32-104CC0B4ECD7}"/>
            </a:ext>
            <a:ext uri="{147F2762-F138-4A5C-976F-8EAC2B608ADB}">
              <a16:predDERef xmlns:a16="http://schemas.microsoft.com/office/drawing/2014/main" pred="{8B5F568D-0818-19E4-3F63-689BCFCD933D}"/>
            </a:ext>
          </a:extLst>
        </xdr:cNvPr>
        <xdr:cNvPicPr>
          <a:picLocks noChangeAspect="1"/>
        </xdr:cNvPicPr>
      </xdr:nvPicPr>
      <xdr:blipFill>
        <a:blip xmlns:r="http://schemas.openxmlformats.org/officeDocument/2006/relationships" r:embed="rId2"/>
        <a:stretch>
          <a:fillRect/>
        </a:stretch>
      </xdr:blipFill>
      <xdr:spPr>
        <a:xfrm>
          <a:off x="419100" y="9296400"/>
          <a:ext cx="7886700" cy="4438650"/>
        </a:xfrm>
        <a:prstGeom prst="rect">
          <a:avLst/>
        </a:prstGeom>
      </xdr:spPr>
    </xdr:pic>
    <xdr:clientData/>
  </xdr:twoCellAnchor>
  <xdr:twoCellAnchor editAs="oneCell">
    <xdr:from>
      <xdr:col>1</xdr:col>
      <xdr:colOff>476250</xdr:colOff>
      <xdr:row>68</xdr:row>
      <xdr:rowOff>180975</xdr:rowOff>
    </xdr:from>
    <xdr:to>
      <xdr:col>7</xdr:col>
      <xdr:colOff>190500</xdr:colOff>
      <xdr:row>88</xdr:row>
      <xdr:rowOff>180975</xdr:rowOff>
    </xdr:to>
    <xdr:pic>
      <xdr:nvPicPr>
        <xdr:cNvPr id="5" name="Afbeelding 10">
          <a:extLst>
            <a:ext uri="{FF2B5EF4-FFF2-40B4-BE49-F238E27FC236}">
              <a16:creationId xmlns:a16="http://schemas.microsoft.com/office/drawing/2014/main" id="{6424C9D5-D33C-449F-A356-A55418A8FFE1}"/>
            </a:ext>
            <a:ext uri="{147F2762-F138-4A5C-976F-8EAC2B608ADB}">
              <a16:predDERef xmlns:a16="http://schemas.microsoft.com/office/drawing/2014/main" pred="{DBA22E24-572B-0448-34CB-F37D832123C6}"/>
            </a:ext>
          </a:extLst>
        </xdr:cNvPr>
        <xdr:cNvPicPr>
          <a:picLocks noChangeAspect="1"/>
        </xdr:cNvPicPr>
      </xdr:nvPicPr>
      <xdr:blipFill>
        <a:blip xmlns:r="http://schemas.openxmlformats.org/officeDocument/2006/relationships" r:embed="rId3"/>
        <a:stretch>
          <a:fillRect/>
        </a:stretch>
      </xdr:blipFill>
      <xdr:spPr>
        <a:xfrm>
          <a:off x="1085850" y="13896975"/>
          <a:ext cx="6772275" cy="381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0</xdr:colOff>
      <xdr:row>25</xdr:row>
      <xdr:rowOff>0</xdr:rowOff>
    </xdr:from>
    <xdr:to>
      <xdr:col>23</xdr:col>
      <xdr:colOff>514350</xdr:colOff>
      <xdr:row>47</xdr:row>
      <xdr:rowOff>47625</xdr:rowOff>
    </xdr:to>
    <xdr:pic>
      <xdr:nvPicPr>
        <xdr:cNvPr id="3" name="Picture 3">
          <a:extLst>
            <a:ext uri="{FF2B5EF4-FFF2-40B4-BE49-F238E27FC236}">
              <a16:creationId xmlns:a16="http://schemas.microsoft.com/office/drawing/2014/main" id="{4D1BE71A-4134-486D-A65B-6155DABE0CAD}"/>
            </a:ext>
            <a:ext uri="{147F2762-F138-4A5C-976F-8EAC2B608ADB}">
              <a16:predDERef xmlns:a16="http://schemas.microsoft.com/office/drawing/2014/main" pred="{A42C8405-C6D8-23A9-B2B6-7695E3BBB504}"/>
            </a:ext>
          </a:extLst>
        </xdr:cNvPr>
        <xdr:cNvPicPr>
          <a:picLocks noChangeAspect="1"/>
        </xdr:cNvPicPr>
      </xdr:nvPicPr>
      <xdr:blipFill>
        <a:blip xmlns:r="http://schemas.openxmlformats.org/officeDocument/2006/relationships" r:embed="rId1"/>
        <a:stretch>
          <a:fillRect/>
        </a:stretch>
      </xdr:blipFill>
      <xdr:spPr>
        <a:xfrm>
          <a:off x="10563225" y="5524500"/>
          <a:ext cx="10239375" cy="4238625"/>
        </a:xfrm>
        <a:prstGeom prst="rect">
          <a:avLst/>
        </a:prstGeom>
      </xdr:spPr>
    </xdr:pic>
    <xdr:clientData/>
  </xdr:twoCellAnchor>
  <xdr:twoCellAnchor editAs="oneCell">
    <xdr:from>
      <xdr:col>0</xdr:col>
      <xdr:colOff>419100</xdr:colOff>
      <xdr:row>44</xdr:row>
      <xdr:rowOff>152400</xdr:rowOff>
    </xdr:from>
    <xdr:to>
      <xdr:col>7</xdr:col>
      <xdr:colOff>638175</xdr:colOff>
      <xdr:row>68</xdr:row>
      <xdr:rowOff>19050</xdr:rowOff>
    </xdr:to>
    <xdr:pic>
      <xdr:nvPicPr>
        <xdr:cNvPr id="4" name="Afbeelding 7">
          <a:extLst>
            <a:ext uri="{FF2B5EF4-FFF2-40B4-BE49-F238E27FC236}">
              <a16:creationId xmlns:a16="http://schemas.microsoft.com/office/drawing/2014/main" id="{4A5C4ECF-0C07-434B-8D03-1ED8E66A80F3}"/>
            </a:ext>
            <a:ext uri="{147F2762-F138-4A5C-976F-8EAC2B608ADB}">
              <a16:predDERef xmlns:a16="http://schemas.microsoft.com/office/drawing/2014/main" pred="{8B5F568D-0818-19E4-3F63-689BCFCD933D}"/>
            </a:ext>
          </a:extLst>
        </xdr:cNvPr>
        <xdr:cNvPicPr>
          <a:picLocks noChangeAspect="1"/>
        </xdr:cNvPicPr>
      </xdr:nvPicPr>
      <xdr:blipFill>
        <a:blip xmlns:r="http://schemas.openxmlformats.org/officeDocument/2006/relationships" r:embed="rId2"/>
        <a:stretch>
          <a:fillRect/>
        </a:stretch>
      </xdr:blipFill>
      <xdr:spPr>
        <a:xfrm>
          <a:off x="419100" y="9296400"/>
          <a:ext cx="7886700" cy="4438650"/>
        </a:xfrm>
        <a:prstGeom prst="rect">
          <a:avLst/>
        </a:prstGeom>
      </xdr:spPr>
    </xdr:pic>
    <xdr:clientData/>
  </xdr:twoCellAnchor>
  <xdr:twoCellAnchor editAs="oneCell">
    <xdr:from>
      <xdr:col>1</xdr:col>
      <xdr:colOff>476250</xdr:colOff>
      <xdr:row>68</xdr:row>
      <xdr:rowOff>180975</xdr:rowOff>
    </xdr:from>
    <xdr:to>
      <xdr:col>7</xdr:col>
      <xdr:colOff>190500</xdr:colOff>
      <xdr:row>88</xdr:row>
      <xdr:rowOff>180975</xdr:rowOff>
    </xdr:to>
    <xdr:pic>
      <xdr:nvPicPr>
        <xdr:cNvPr id="5" name="Afbeelding 10">
          <a:extLst>
            <a:ext uri="{FF2B5EF4-FFF2-40B4-BE49-F238E27FC236}">
              <a16:creationId xmlns:a16="http://schemas.microsoft.com/office/drawing/2014/main" id="{2D51B438-E586-413E-8E54-3B870EEDDACA}"/>
            </a:ext>
            <a:ext uri="{147F2762-F138-4A5C-976F-8EAC2B608ADB}">
              <a16:predDERef xmlns:a16="http://schemas.microsoft.com/office/drawing/2014/main" pred="{DBA22E24-572B-0448-34CB-F37D832123C6}"/>
            </a:ext>
          </a:extLst>
        </xdr:cNvPr>
        <xdr:cNvPicPr>
          <a:picLocks noChangeAspect="1"/>
        </xdr:cNvPicPr>
      </xdr:nvPicPr>
      <xdr:blipFill>
        <a:blip xmlns:r="http://schemas.openxmlformats.org/officeDocument/2006/relationships" r:embed="rId3"/>
        <a:stretch>
          <a:fillRect/>
        </a:stretch>
      </xdr:blipFill>
      <xdr:spPr>
        <a:xfrm>
          <a:off x="1085850" y="13896975"/>
          <a:ext cx="6772275" cy="381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0</xdr:colOff>
      <xdr:row>25</xdr:row>
      <xdr:rowOff>0</xdr:rowOff>
    </xdr:from>
    <xdr:to>
      <xdr:col>23</xdr:col>
      <xdr:colOff>514350</xdr:colOff>
      <xdr:row>47</xdr:row>
      <xdr:rowOff>47625</xdr:rowOff>
    </xdr:to>
    <xdr:pic>
      <xdr:nvPicPr>
        <xdr:cNvPr id="2" name="Picture 3">
          <a:extLst>
            <a:ext uri="{FF2B5EF4-FFF2-40B4-BE49-F238E27FC236}">
              <a16:creationId xmlns:a16="http://schemas.microsoft.com/office/drawing/2014/main" id="{CF26A89D-3FA8-4571-8DD9-A6F4BEE40DA0}"/>
            </a:ext>
            <a:ext uri="{147F2762-F138-4A5C-976F-8EAC2B608ADB}">
              <a16:predDERef xmlns:a16="http://schemas.microsoft.com/office/drawing/2014/main" pred="{A42C8405-C6D8-23A9-B2B6-7695E3BBB504}"/>
            </a:ext>
          </a:extLst>
        </xdr:cNvPr>
        <xdr:cNvPicPr>
          <a:picLocks noChangeAspect="1"/>
        </xdr:cNvPicPr>
      </xdr:nvPicPr>
      <xdr:blipFill>
        <a:blip xmlns:r="http://schemas.openxmlformats.org/officeDocument/2006/relationships" r:embed="rId1"/>
        <a:stretch>
          <a:fillRect/>
        </a:stretch>
      </xdr:blipFill>
      <xdr:spPr>
        <a:xfrm>
          <a:off x="10563225" y="5362575"/>
          <a:ext cx="10239375" cy="4238625"/>
        </a:xfrm>
        <a:prstGeom prst="rect">
          <a:avLst/>
        </a:prstGeom>
      </xdr:spPr>
    </xdr:pic>
    <xdr:clientData/>
  </xdr:twoCellAnchor>
  <xdr:twoCellAnchor editAs="oneCell">
    <xdr:from>
      <xdr:col>0</xdr:col>
      <xdr:colOff>419100</xdr:colOff>
      <xdr:row>44</xdr:row>
      <xdr:rowOff>152400</xdr:rowOff>
    </xdr:from>
    <xdr:to>
      <xdr:col>7</xdr:col>
      <xdr:colOff>638175</xdr:colOff>
      <xdr:row>68</xdr:row>
      <xdr:rowOff>19050</xdr:rowOff>
    </xdr:to>
    <xdr:pic>
      <xdr:nvPicPr>
        <xdr:cNvPr id="3" name="Afbeelding 7">
          <a:extLst>
            <a:ext uri="{FF2B5EF4-FFF2-40B4-BE49-F238E27FC236}">
              <a16:creationId xmlns:a16="http://schemas.microsoft.com/office/drawing/2014/main" id="{48C87E3C-38A3-4448-A68C-B2CC69ADE67C}"/>
            </a:ext>
            <a:ext uri="{147F2762-F138-4A5C-976F-8EAC2B608ADB}">
              <a16:predDERef xmlns:a16="http://schemas.microsoft.com/office/drawing/2014/main" pred="{CF26A89D-3FA8-4571-8DD9-A6F4BEE40DA0}"/>
            </a:ext>
          </a:extLst>
        </xdr:cNvPr>
        <xdr:cNvPicPr>
          <a:picLocks noChangeAspect="1"/>
        </xdr:cNvPicPr>
      </xdr:nvPicPr>
      <xdr:blipFill>
        <a:blip xmlns:r="http://schemas.openxmlformats.org/officeDocument/2006/relationships" r:embed="rId2"/>
        <a:stretch>
          <a:fillRect/>
        </a:stretch>
      </xdr:blipFill>
      <xdr:spPr>
        <a:xfrm>
          <a:off x="419100" y="9134475"/>
          <a:ext cx="7886700" cy="4438650"/>
        </a:xfrm>
        <a:prstGeom prst="rect">
          <a:avLst/>
        </a:prstGeom>
      </xdr:spPr>
    </xdr:pic>
    <xdr:clientData/>
  </xdr:twoCellAnchor>
  <xdr:twoCellAnchor editAs="oneCell">
    <xdr:from>
      <xdr:col>1</xdr:col>
      <xdr:colOff>476250</xdr:colOff>
      <xdr:row>68</xdr:row>
      <xdr:rowOff>180975</xdr:rowOff>
    </xdr:from>
    <xdr:to>
      <xdr:col>7</xdr:col>
      <xdr:colOff>190500</xdr:colOff>
      <xdr:row>88</xdr:row>
      <xdr:rowOff>180975</xdr:rowOff>
    </xdr:to>
    <xdr:pic>
      <xdr:nvPicPr>
        <xdr:cNvPr id="4" name="Afbeelding 10">
          <a:extLst>
            <a:ext uri="{FF2B5EF4-FFF2-40B4-BE49-F238E27FC236}">
              <a16:creationId xmlns:a16="http://schemas.microsoft.com/office/drawing/2014/main" id="{775FF7ED-A831-42D2-83A0-40C683CC5638}"/>
            </a:ext>
            <a:ext uri="{147F2762-F138-4A5C-976F-8EAC2B608ADB}">
              <a16:predDERef xmlns:a16="http://schemas.microsoft.com/office/drawing/2014/main" pred="{48C87E3C-38A3-4448-A68C-B2CC69ADE67C}"/>
            </a:ext>
          </a:extLst>
        </xdr:cNvPr>
        <xdr:cNvPicPr>
          <a:picLocks noChangeAspect="1"/>
        </xdr:cNvPicPr>
      </xdr:nvPicPr>
      <xdr:blipFill>
        <a:blip xmlns:r="http://schemas.openxmlformats.org/officeDocument/2006/relationships" r:embed="rId3"/>
        <a:stretch>
          <a:fillRect/>
        </a:stretch>
      </xdr:blipFill>
      <xdr:spPr>
        <a:xfrm>
          <a:off x="1085850" y="13735050"/>
          <a:ext cx="6772275" cy="381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209550</xdr:colOff>
      <xdr:row>2</xdr:row>
      <xdr:rowOff>19050</xdr:rowOff>
    </xdr:from>
    <xdr:to>
      <xdr:col>17</xdr:col>
      <xdr:colOff>504825</xdr:colOff>
      <xdr:row>19</xdr:row>
      <xdr:rowOff>0</xdr:rowOff>
    </xdr:to>
    <xdr:pic>
      <xdr:nvPicPr>
        <xdr:cNvPr id="2" name="Picture 1">
          <a:extLst>
            <a:ext uri="{FF2B5EF4-FFF2-40B4-BE49-F238E27FC236}">
              <a16:creationId xmlns:a16="http://schemas.microsoft.com/office/drawing/2014/main" id="{B634D8BC-6633-4604-95ED-B119408CF215}"/>
            </a:ext>
          </a:extLst>
        </xdr:cNvPr>
        <xdr:cNvPicPr>
          <a:picLocks noChangeAspect="1"/>
        </xdr:cNvPicPr>
      </xdr:nvPicPr>
      <xdr:blipFill>
        <a:blip xmlns:r="http://schemas.openxmlformats.org/officeDocument/2006/relationships" r:embed="rId1"/>
        <a:stretch>
          <a:fillRect/>
        </a:stretch>
      </xdr:blipFill>
      <xdr:spPr>
        <a:xfrm>
          <a:off x="10772775" y="400050"/>
          <a:ext cx="5553075" cy="3981450"/>
        </a:xfrm>
        <a:prstGeom prst="rect">
          <a:avLst/>
        </a:prstGeom>
      </xdr:spPr>
    </xdr:pic>
    <xdr:clientData/>
  </xdr:twoCellAnchor>
  <xdr:twoCellAnchor editAs="oneCell">
    <xdr:from>
      <xdr:col>10</xdr:col>
      <xdr:colOff>0</xdr:colOff>
      <xdr:row>25</xdr:row>
      <xdr:rowOff>0</xdr:rowOff>
    </xdr:from>
    <xdr:to>
      <xdr:col>23</xdr:col>
      <xdr:colOff>514350</xdr:colOff>
      <xdr:row>47</xdr:row>
      <xdr:rowOff>47625</xdr:rowOff>
    </xdr:to>
    <xdr:pic>
      <xdr:nvPicPr>
        <xdr:cNvPr id="3" name="Picture 3">
          <a:extLst>
            <a:ext uri="{FF2B5EF4-FFF2-40B4-BE49-F238E27FC236}">
              <a16:creationId xmlns:a16="http://schemas.microsoft.com/office/drawing/2014/main" id="{2C7A6028-38E8-4643-AD7E-7A303F0A31B0}"/>
            </a:ext>
            <a:ext uri="{147F2762-F138-4A5C-976F-8EAC2B608ADB}">
              <a16:predDERef xmlns:a16="http://schemas.microsoft.com/office/drawing/2014/main" pred="{A42C8405-C6D8-23A9-B2B6-7695E3BBB504}"/>
            </a:ext>
          </a:extLst>
        </xdr:cNvPr>
        <xdr:cNvPicPr>
          <a:picLocks noChangeAspect="1"/>
        </xdr:cNvPicPr>
      </xdr:nvPicPr>
      <xdr:blipFill>
        <a:blip xmlns:r="http://schemas.openxmlformats.org/officeDocument/2006/relationships" r:embed="rId2"/>
        <a:stretch>
          <a:fillRect/>
        </a:stretch>
      </xdr:blipFill>
      <xdr:spPr>
        <a:xfrm>
          <a:off x="10563225" y="5524500"/>
          <a:ext cx="10239375" cy="4238625"/>
        </a:xfrm>
        <a:prstGeom prst="rect">
          <a:avLst/>
        </a:prstGeom>
      </xdr:spPr>
    </xdr:pic>
    <xdr:clientData/>
  </xdr:twoCellAnchor>
  <xdr:twoCellAnchor editAs="oneCell">
    <xdr:from>
      <xdr:col>0</xdr:col>
      <xdr:colOff>419100</xdr:colOff>
      <xdr:row>44</xdr:row>
      <xdr:rowOff>152400</xdr:rowOff>
    </xdr:from>
    <xdr:to>
      <xdr:col>7</xdr:col>
      <xdr:colOff>638175</xdr:colOff>
      <xdr:row>68</xdr:row>
      <xdr:rowOff>19050</xdr:rowOff>
    </xdr:to>
    <xdr:pic>
      <xdr:nvPicPr>
        <xdr:cNvPr id="4" name="Afbeelding 7">
          <a:extLst>
            <a:ext uri="{FF2B5EF4-FFF2-40B4-BE49-F238E27FC236}">
              <a16:creationId xmlns:a16="http://schemas.microsoft.com/office/drawing/2014/main" id="{AA313F99-10D7-40B6-BFA9-A03AB07AF7C2}"/>
            </a:ext>
            <a:ext uri="{147F2762-F138-4A5C-976F-8EAC2B608ADB}">
              <a16:predDERef xmlns:a16="http://schemas.microsoft.com/office/drawing/2014/main" pred="{8B5F568D-0818-19E4-3F63-689BCFCD933D}"/>
            </a:ext>
          </a:extLst>
        </xdr:cNvPr>
        <xdr:cNvPicPr>
          <a:picLocks noChangeAspect="1"/>
        </xdr:cNvPicPr>
      </xdr:nvPicPr>
      <xdr:blipFill>
        <a:blip xmlns:r="http://schemas.openxmlformats.org/officeDocument/2006/relationships" r:embed="rId3"/>
        <a:stretch>
          <a:fillRect/>
        </a:stretch>
      </xdr:blipFill>
      <xdr:spPr>
        <a:xfrm>
          <a:off x="419100" y="9296400"/>
          <a:ext cx="7886700" cy="4438650"/>
        </a:xfrm>
        <a:prstGeom prst="rect">
          <a:avLst/>
        </a:prstGeom>
      </xdr:spPr>
    </xdr:pic>
    <xdr:clientData/>
  </xdr:twoCellAnchor>
  <xdr:twoCellAnchor editAs="oneCell">
    <xdr:from>
      <xdr:col>1</xdr:col>
      <xdr:colOff>476250</xdr:colOff>
      <xdr:row>68</xdr:row>
      <xdr:rowOff>180975</xdr:rowOff>
    </xdr:from>
    <xdr:to>
      <xdr:col>7</xdr:col>
      <xdr:colOff>190500</xdr:colOff>
      <xdr:row>88</xdr:row>
      <xdr:rowOff>180975</xdr:rowOff>
    </xdr:to>
    <xdr:pic>
      <xdr:nvPicPr>
        <xdr:cNvPr id="5" name="Afbeelding 10">
          <a:extLst>
            <a:ext uri="{FF2B5EF4-FFF2-40B4-BE49-F238E27FC236}">
              <a16:creationId xmlns:a16="http://schemas.microsoft.com/office/drawing/2014/main" id="{93F41618-10F7-448F-88AA-0F2B405513CA}"/>
            </a:ext>
            <a:ext uri="{147F2762-F138-4A5C-976F-8EAC2B608ADB}">
              <a16:predDERef xmlns:a16="http://schemas.microsoft.com/office/drawing/2014/main" pred="{DBA22E24-572B-0448-34CB-F37D832123C6}"/>
            </a:ext>
          </a:extLst>
        </xdr:cNvPr>
        <xdr:cNvPicPr>
          <a:picLocks noChangeAspect="1"/>
        </xdr:cNvPicPr>
      </xdr:nvPicPr>
      <xdr:blipFill>
        <a:blip xmlns:r="http://schemas.openxmlformats.org/officeDocument/2006/relationships" r:embed="rId4"/>
        <a:stretch>
          <a:fillRect/>
        </a:stretch>
      </xdr:blipFill>
      <xdr:spPr>
        <a:xfrm>
          <a:off x="1085850" y="13896975"/>
          <a:ext cx="6772275" cy="38100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Berghuis, Barbara" id="{0D458F55-3CDC-4BC0-87C8-51DF8DD1CDDB}" userId="S::barbara.berghuis@wur.nl::76b5d2a2-f0e0-4516-9a19-c40d0e31d4b3"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L51" dT="2022-05-05T10:14:08.94" personId="{0D458F55-3CDC-4BC0-87C8-51DF8DD1CDDB}" id="{6BAFE5E4-BA64-49FE-9DE7-20393CBE0539}">
    <text>in the article it is mg 100g-1</text>
  </threadedComment>
</ThreadedComments>
</file>

<file path=xl/threadedComments/threadedComment2.xml><?xml version="1.0" encoding="utf-8"?>
<ThreadedComments xmlns="http://schemas.microsoft.com/office/spreadsheetml/2018/threadedcomments" xmlns:x="http://schemas.openxmlformats.org/spreadsheetml/2006/main">
  <threadedComment ref="L51" dT="2022-05-05T10:14:08.94" personId="{0D458F55-3CDC-4BC0-87C8-51DF8DD1CDDB}" id="{CEE8FAF0-E26A-4CD6-9793-157650C49E63}">
    <text>in the article it is mg 100g-1</text>
  </threadedComment>
</ThreadedComments>
</file>

<file path=xl/threadedComments/threadedComment3.xml><?xml version="1.0" encoding="utf-8"?>
<ThreadedComments xmlns="http://schemas.microsoft.com/office/spreadsheetml/2018/threadedcomments" xmlns:x="http://schemas.openxmlformats.org/spreadsheetml/2006/main">
  <threadedComment ref="L51" dT="2022-05-05T10:14:08.94" personId="{0D458F55-3CDC-4BC0-87C8-51DF8DD1CDDB}" id="{76B2F4F7-6979-47AE-8BB1-8340B706EA19}">
    <text>in the article it is mg 100g-1</text>
  </threadedComment>
</ThreadedComments>
</file>

<file path=xl/threadedComments/threadedComment4.xml><?xml version="1.0" encoding="utf-8"?>
<ThreadedComments xmlns="http://schemas.microsoft.com/office/spreadsheetml/2018/threadedcomments" xmlns:x="http://schemas.openxmlformats.org/spreadsheetml/2006/main">
  <threadedComment ref="L51" dT="2022-05-05T10:14:08.94" personId="{0D458F55-3CDC-4BC0-87C8-51DF8DD1CDDB}" id="{B0371893-4BE8-461A-ACED-75A5E0CD9470}">
    <text>in the article it is mg 100g-1</text>
  </threadedComment>
</ThreadedComments>
</file>

<file path=xl/threadedComments/threadedComment5.xml><?xml version="1.0" encoding="utf-8"?>
<ThreadedComments xmlns="http://schemas.microsoft.com/office/spreadsheetml/2018/threadedcomments" xmlns:x="http://schemas.openxmlformats.org/spreadsheetml/2006/main">
  <threadedComment ref="L51" dT="2022-05-05T10:14:08.94" personId="{0D458F55-3CDC-4BC0-87C8-51DF8DD1CDDB}" id="{AED6A036-AC02-4AD9-B6A3-72C0486B91E4}">
    <text>in the article it is mg 100g-1</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doi-org.ezproxy.library.wur.nl/10.1016/j.scienta.2017.07.007" TargetMode="External"/><Relationship Id="rId7" Type="http://schemas.openxmlformats.org/officeDocument/2006/relationships/hyperlink" Target="https://doi.org/10.1016/0889-1575(87)90007-X" TargetMode="External"/><Relationship Id="rId2" Type="http://schemas.openxmlformats.org/officeDocument/2006/relationships/hyperlink" Target="https://www.agrifarming.in/celery-farming" TargetMode="External"/><Relationship Id="rId1" Type="http://schemas.openxmlformats.org/officeDocument/2006/relationships/hyperlink" Target="https://doi-org.ezproxy.library.wur.nl/10.1080/19315260.2012.715122" TargetMode="External"/><Relationship Id="rId6" Type="http://schemas.openxmlformats.org/officeDocument/2006/relationships/hyperlink" Target="https://ourworldindata.org/grapher/pea-yields" TargetMode="External"/><Relationship Id="rId5" Type="http://schemas.openxmlformats.org/officeDocument/2006/relationships/hyperlink" Target="https://www.answers.com/Q/What_is_the_average_weight_of_a_radish" TargetMode="External"/><Relationship Id="rId4" Type="http://schemas.openxmlformats.org/officeDocument/2006/relationships/hyperlink" Target="https://res.mdpi.com/d_attachment/agronomy/agronomy-10-01341/article_deploy/agronomy-10-01341-v2.pdf" TargetMode="External"/><Relationship Id="rId9"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aqua-calc.com/calculate/food-weight-to-volume" TargetMode="External"/><Relationship Id="rId2" Type="http://schemas.openxmlformats.org/officeDocument/2006/relationships/hyperlink" Target="https://www.fertilizer-machine.com/solution/Moisture-Content-and-the-Organic-Compost.html" TargetMode="External"/><Relationship Id="rId1" Type="http://schemas.openxmlformats.org/officeDocument/2006/relationships/hyperlink" Target="https://helpmecompost.com/compost/basics/how-much-does-compost-weigh/" TargetMode="External"/><Relationship Id="rId5" Type="http://schemas.openxmlformats.org/officeDocument/2006/relationships/drawing" Target="../drawings/drawing2.xml"/><Relationship Id="rId4" Type="http://schemas.openxmlformats.org/officeDocument/2006/relationships/hyperlink" Target="https://www.aqua-calc.com/calculate/food-weight-to-volume"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edepot.wur.nl/378131" TargetMode="External"/><Relationship Id="rId7" Type="http://schemas.openxmlformats.org/officeDocument/2006/relationships/vmlDrawing" Target="../drawings/vmlDrawing1.vml"/><Relationship Id="rId2" Type="http://schemas.openxmlformats.org/officeDocument/2006/relationships/hyperlink" Target="https://www.jstor.org/stable/2471021" TargetMode="External"/><Relationship Id="rId1" Type="http://schemas.openxmlformats.org/officeDocument/2006/relationships/hyperlink" Target="https://doi.org/10.2134/age2018.10.0045" TargetMode="External"/><Relationship Id="rId6" Type="http://schemas.openxmlformats.org/officeDocument/2006/relationships/drawing" Target="../drawings/drawing4.xml"/><Relationship Id="rId5" Type="http://schemas.openxmlformats.org/officeDocument/2006/relationships/printerSettings" Target="../printerSettings/printerSettings2.bin"/><Relationship Id="rId4" Type="http://schemas.openxmlformats.org/officeDocument/2006/relationships/hyperlink" Target="https://www.jstor.org/stable/2471021" TargetMode="External"/><Relationship Id="rId9"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hyperlink" Target="https://edepot.wur.nl/378131" TargetMode="External"/><Relationship Id="rId7" Type="http://schemas.openxmlformats.org/officeDocument/2006/relationships/comments" Target="../comments2.xml"/><Relationship Id="rId2" Type="http://schemas.openxmlformats.org/officeDocument/2006/relationships/hyperlink" Target="https://www.jstor.org/stable/2471021" TargetMode="External"/><Relationship Id="rId1" Type="http://schemas.openxmlformats.org/officeDocument/2006/relationships/hyperlink" Target="https://doi.org/10.2134/age2018.10.0045" TargetMode="External"/><Relationship Id="rId6" Type="http://schemas.openxmlformats.org/officeDocument/2006/relationships/vmlDrawing" Target="../drawings/vmlDrawing2.vml"/><Relationship Id="rId5" Type="http://schemas.openxmlformats.org/officeDocument/2006/relationships/drawing" Target="../drawings/drawing5.xml"/><Relationship Id="rId4" Type="http://schemas.openxmlformats.org/officeDocument/2006/relationships/hyperlink" Target="https://www.jstor.org/stable/2471021" TargetMode="External"/></Relationships>
</file>

<file path=xl/worksheets/_rels/sheet6.xml.rels><?xml version="1.0" encoding="UTF-8" standalone="yes"?>
<Relationships xmlns="http://schemas.openxmlformats.org/package/2006/relationships"><Relationship Id="rId8" Type="http://schemas.microsoft.com/office/2017/10/relationships/threadedComment" Target="../threadedComments/threadedComment3.xml"/><Relationship Id="rId3" Type="http://schemas.openxmlformats.org/officeDocument/2006/relationships/hyperlink" Target="https://edepot.wur.nl/378131" TargetMode="External"/><Relationship Id="rId7" Type="http://schemas.openxmlformats.org/officeDocument/2006/relationships/comments" Target="../comments3.xml"/><Relationship Id="rId2" Type="http://schemas.openxmlformats.org/officeDocument/2006/relationships/hyperlink" Target="https://www.jstor.org/stable/2471021" TargetMode="External"/><Relationship Id="rId1" Type="http://schemas.openxmlformats.org/officeDocument/2006/relationships/hyperlink" Target="https://doi.org/10.2134/age2018.10.0045" TargetMode="External"/><Relationship Id="rId6" Type="http://schemas.openxmlformats.org/officeDocument/2006/relationships/vmlDrawing" Target="../drawings/vmlDrawing3.vml"/><Relationship Id="rId5" Type="http://schemas.openxmlformats.org/officeDocument/2006/relationships/drawing" Target="../drawings/drawing6.xml"/><Relationship Id="rId4" Type="http://schemas.openxmlformats.org/officeDocument/2006/relationships/hyperlink" Target="https://www.jstor.org/stable/2471021" TargetMode="External"/></Relationships>
</file>

<file path=xl/worksheets/_rels/sheet7.xml.rels><?xml version="1.0" encoding="UTF-8" standalone="yes"?>
<Relationships xmlns="http://schemas.openxmlformats.org/package/2006/relationships"><Relationship Id="rId8" Type="http://schemas.microsoft.com/office/2017/10/relationships/threadedComment" Target="../threadedComments/threadedComment4.xml"/><Relationship Id="rId3" Type="http://schemas.openxmlformats.org/officeDocument/2006/relationships/hyperlink" Target="https://edepot.wur.nl/378131" TargetMode="External"/><Relationship Id="rId7" Type="http://schemas.openxmlformats.org/officeDocument/2006/relationships/comments" Target="../comments4.xml"/><Relationship Id="rId2" Type="http://schemas.openxmlformats.org/officeDocument/2006/relationships/hyperlink" Target="https://www.jstor.org/stable/2471021" TargetMode="External"/><Relationship Id="rId1" Type="http://schemas.openxmlformats.org/officeDocument/2006/relationships/hyperlink" Target="https://doi.org/10.2134/age2018.10.0045" TargetMode="External"/><Relationship Id="rId6" Type="http://schemas.openxmlformats.org/officeDocument/2006/relationships/vmlDrawing" Target="../drawings/vmlDrawing4.vml"/><Relationship Id="rId5" Type="http://schemas.openxmlformats.org/officeDocument/2006/relationships/drawing" Target="../drawings/drawing7.xml"/><Relationship Id="rId4" Type="http://schemas.openxmlformats.org/officeDocument/2006/relationships/hyperlink" Target="https://www.jstor.org/stable/2471021" TargetMode="External"/></Relationships>
</file>

<file path=xl/worksheets/_rels/sheet9.xml.rels><?xml version="1.0" encoding="UTF-8" standalone="yes"?>
<Relationships xmlns="http://schemas.openxmlformats.org/package/2006/relationships"><Relationship Id="rId8" Type="http://schemas.microsoft.com/office/2017/10/relationships/threadedComment" Target="../threadedComments/threadedComment5.xml"/><Relationship Id="rId3" Type="http://schemas.openxmlformats.org/officeDocument/2006/relationships/hyperlink" Target="https://edepot.wur.nl/378131" TargetMode="External"/><Relationship Id="rId7" Type="http://schemas.openxmlformats.org/officeDocument/2006/relationships/comments" Target="../comments5.xml"/><Relationship Id="rId2" Type="http://schemas.openxmlformats.org/officeDocument/2006/relationships/hyperlink" Target="https://www.jstor.org/stable/2471021" TargetMode="External"/><Relationship Id="rId1" Type="http://schemas.openxmlformats.org/officeDocument/2006/relationships/hyperlink" Target="https://doi.org/10.2134/age2018.10.0045" TargetMode="External"/><Relationship Id="rId6" Type="http://schemas.openxmlformats.org/officeDocument/2006/relationships/vmlDrawing" Target="../drawings/vmlDrawing5.vml"/><Relationship Id="rId5" Type="http://schemas.openxmlformats.org/officeDocument/2006/relationships/drawing" Target="../drawings/drawing8.xml"/><Relationship Id="rId4" Type="http://schemas.openxmlformats.org/officeDocument/2006/relationships/hyperlink" Target="https://www.jstor.org/stable/247102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EE261-BA05-4FEC-B8E9-0184FA1E4948}">
  <dimension ref="A1:U191"/>
  <sheetViews>
    <sheetView zoomScale="90" zoomScaleNormal="90" workbookViewId="0">
      <selection activeCell="A3" sqref="A3"/>
    </sheetView>
  </sheetViews>
  <sheetFormatPr defaultRowHeight="15"/>
  <cols>
    <col min="1" max="1" width="33.140625" customWidth="1"/>
    <col min="2" max="2" width="15.140625" customWidth="1"/>
    <col min="3" max="3" width="15.42578125" hidden="1" customWidth="1"/>
    <col min="4" max="4" width="28.140625" customWidth="1"/>
    <col min="5" max="5" width="15.5703125" customWidth="1"/>
    <col min="6" max="6" width="25.5703125" customWidth="1"/>
    <col min="7" max="7" width="14.5703125" customWidth="1"/>
    <col min="8" max="8" width="35" hidden="1" customWidth="1"/>
    <col min="9" max="9" width="23.5703125" customWidth="1"/>
    <col min="10" max="10" width="23.28515625" customWidth="1"/>
    <col min="16" max="16" width="15.140625" customWidth="1"/>
  </cols>
  <sheetData>
    <row r="1" spans="1:21" s="26" customFormat="1">
      <c r="A1" s="27" t="s">
        <v>143</v>
      </c>
    </row>
    <row r="2" spans="1:21">
      <c r="E2" s="13" t="s">
        <v>144</v>
      </c>
      <c r="P2" s="14"/>
      <c r="Q2" s="14"/>
      <c r="R2" s="14"/>
    </row>
    <row r="3" spans="1:21">
      <c r="A3" s="3" t="s">
        <v>145</v>
      </c>
      <c r="B3" s="3" t="s">
        <v>146</v>
      </c>
      <c r="C3" s="3" t="s">
        <v>147</v>
      </c>
      <c r="D3" s="3" t="s">
        <v>148</v>
      </c>
      <c r="E3" s="3" t="s">
        <v>149</v>
      </c>
      <c r="F3" s="3" t="s">
        <v>150</v>
      </c>
      <c r="G3" s="3" t="s">
        <v>151</v>
      </c>
      <c r="H3" s="3" t="s">
        <v>152</v>
      </c>
      <c r="I3" s="3" t="s">
        <v>153</v>
      </c>
      <c r="J3" s="3" t="s">
        <v>154</v>
      </c>
      <c r="O3" s="14"/>
      <c r="P3" s="15" t="s">
        <v>155</v>
      </c>
      <c r="Q3" s="16"/>
      <c r="R3" s="16"/>
      <c r="S3" s="14"/>
      <c r="T3" t="s">
        <v>156</v>
      </c>
      <c r="U3">
        <v>10000</v>
      </c>
    </row>
    <row r="4" spans="1:21">
      <c r="A4" t="s">
        <v>20</v>
      </c>
      <c r="B4" s="4" t="s">
        <v>157</v>
      </c>
      <c r="D4" s="11">
        <f>12*150</f>
        <v>1800</v>
      </c>
      <c r="E4" s="11">
        <v>12</v>
      </c>
      <c r="F4" s="11">
        <f>N$5*E4</f>
        <v>43.2</v>
      </c>
      <c r="G4" t="s">
        <v>158</v>
      </c>
      <c r="H4" s="12" t="s">
        <v>159</v>
      </c>
      <c r="I4" s="12" t="s">
        <v>160</v>
      </c>
      <c r="J4">
        <f>R34*D4</f>
        <v>5.7600000000000007</v>
      </c>
      <c r="M4" t="s">
        <v>161</v>
      </c>
      <c r="N4">
        <f>Q5*Q4</f>
        <v>36</v>
      </c>
      <c r="O4" s="14"/>
      <c r="P4" s="15" t="s">
        <v>162</v>
      </c>
      <c r="Q4" s="16">
        <v>30</v>
      </c>
      <c r="R4" s="16"/>
      <c r="S4" s="14"/>
      <c r="T4" t="s">
        <v>163</v>
      </c>
      <c r="U4">
        <v>1000</v>
      </c>
    </row>
    <row r="5" spans="1:21">
      <c r="A5" t="s">
        <v>21</v>
      </c>
      <c r="B5" s="4" t="s">
        <v>164</v>
      </c>
      <c r="D5" s="11">
        <f>6*135</f>
        <v>810</v>
      </c>
      <c r="E5" s="11">
        <v>6</v>
      </c>
      <c r="F5" s="11">
        <f t="shared" ref="F5:F37" si="0">N$5*E5</f>
        <v>21.6</v>
      </c>
      <c r="G5" s="8" t="s">
        <v>165</v>
      </c>
      <c r="H5" s="12" t="s">
        <v>166</v>
      </c>
      <c r="I5" s="12" t="s">
        <v>160</v>
      </c>
      <c r="J5">
        <f>D5*R34</f>
        <v>2.5920000000000001</v>
      </c>
      <c r="N5">
        <f>N4/10</f>
        <v>3.6</v>
      </c>
      <c r="O5" s="14"/>
      <c r="P5" s="15" t="s">
        <v>167</v>
      </c>
      <c r="Q5" s="16">
        <v>1.2</v>
      </c>
      <c r="R5" s="16"/>
      <c r="S5" s="14"/>
    </row>
    <row r="6" spans="1:21">
      <c r="A6" t="s">
        <v>22</v>
      </c>
      <c r="B6" s="4" t="s">
        <v>168</v>
      </c>
      <c r="D6" s="4">
        <f>Q7*Q5*Q4</f>
        <v>53.999999999999993</v>
      </c>
      <c r="E6" s="4">
        <v>1</v>
      </c>
      <c r="F6" s="11">
        <f t="shared" si="0"/>
        <v>3.6</v>
      </c>
      <c r="G6" s="9" t="s">
        <v>52</v>
      </c>
      <c r="H6" s="5" t="s">
        <v>169</v>
      </c>
      <c r="I6" s="72" t="s">
        <v>170</v>
      </c>
      <c r="J6">
        <f>R$28*D6</f>
        <v>6.8039999999999989E-2</v>
      </c>
      <c r="O6" s="14"/>
      <c r="P6" s="15" t="s">
        <v>171</v>
      </c>
      <c r="Q6" s="16">
        <v>15</v>
      </c>
      <c r="R6" s="16" t="s">
        <v>172</v>
      </c>
      <c r="S6" s="14"/>
    </row>
    <row r="7" spans="1:21">
      <c r="A7" t="s">
        <v>23</v>
      </c>
      <c r="B7" s="4" t="s">
        <v>173</v>
      </c>
      <c r="D7" s="4">
        <f>Q7*Q4*Q5</f>
        <v>54</v>
      </c>
      <c r="E7" s="4">
        <v>1</v>
      </c>
      <c r="F7" s="11">
        <f t="shared" si="0"/>
        <v>3.6</v>
      </c>
      <c r="G7" s="9" t="s">
        <v>52</v>
      </c>
      <c r="H7" s="5" t="s">
        <v>174</v>
      </c>
      <c r="I7" s="72" t="s">
        <v>170</v>
      </c>
      <c r="J7">
        <f t="shared" ref="J7:J63" si="1">R$28*D7</f>
        <v>6.8040000000000003E-2</v>
      </c>
      <c r="O7" s="14"/>
      <c r="P7" s="15" t="s">
        <v>175</v>
      </c>
      <c r="Q7" s="16">
        <f>Q6*1000/10000</f>
        <v>1.5</v>
      </c>
      <c r="R7" s="16"/>
      <c r="S7" s="14"/>
    </row>
    <row r="8" spans="1:21">
      <c r="A8" t="s">
        <v>25</v>
      </c>
      <c r="B8" s="4" t="s">
        <v>176</v>
      </c>
      <c r="D8">
        <f>2*Q4*Q5*Q10</f>
        <v>216</v>
      </c>
      <c r="E8">
        <v>2</v>
      </c>
      <c r="F8" s="11">
        <f t="shared" si="0"/>
        <v>7.2</v>
      </c>
      <c r="G8" s="9" t="s">
        <v>177</v>
      </c>
      <c r="H8" s="5" t="s">
        <v>178</v>
      </c>
      <c r="I8" s="5" t="s">
        <v>176</v>
      </c>
      <c r="J8">
        <f>R25*D8</f>
        <v>0.29808000000000001</v>
      </c>
      <c r="O8" s="14"/>
      <c r="P8" s="15" t="s">
        <v>179</v>
      </c>
      <c r="Q8" s="16">
        <v>17</v>
      </c>
      <c r="R8" s="15" t="s">
        <v>180</v>
      </c>
      <c r="S8" s="14"/>
    </row>
    <row r="9" spans="1:21">
      <c r="A9" t="s">
        <v>26</v>
      </c>
      <c r="B9" s="4" t="s">
        <v>181</v>
      </c>
      <c r="C9" s="4" t="s">
        <v>182</v>
      </c>
      <c r="D9">
        <v>360</v>
      </c>
      <c r="E9">
        <v>5</v>
      </c>
      <c r="F9" s="11">
        <f t="shared" si="0"/>
        <v>18</v>
      </c>
      <c r="G9" s="9" t="s">
        <v>183</v>
      </c>
      <c r="H9" s="5" t="s">
        <v>184</v>
      </c>
      <c r="I9" s="5" t="s">
        <v>185</v>
      </c>
      <c r="J9">
        <f>R27*D9</f>
        <v>0.36719999999999997</v>
      </c>
      <c r="K9" s="5"/>
      <c r="O9" s="14"/>
      <c r="P9" s="15" t="s">
        <v>186</v>
      </c>
      <c r="Q9" s="16">
        <f>Q8*1000/10000</f>
        <v>1.7</v>
      </c>
      <c r="R9" s="16"/>
      <c r="S9" s="14"/>
    </row>
    <row r="10" spans="1:21">
      <c r="A10" t="s">
        <v>27</v>
      </c>
      <c r="B10" s="4" t="s">
        <v>187</v>
      </c>
      <c r="C10" s="4" t="s">
        <v>188</v>
      </c>
      <c r="D10" s="6">
        <v>360</v>
      </c>
      <c r="E10" s="6">
        <v>2</v>
      </c>
      <c r="F10" s="11">
        <f t="shared" si="0"/>
        <v>7.2</v>
      </c>
      <c r="G10" s="8"/>
      <c r="I10" t="s">
        <v>185</v>
      </c>
      <c r="J10">
        <f>R27*D10</f>
        <v>0.36719999999999997</v>
      </c>
      <c r="O10" s="14"/>
      <c r="P10" s="15" t="s">
        <v>186</v>
      </c>
      <c r="Q10" s="16">
        <f>3</f>
        <v>3</v>
      </c>
      <c r="R10" s="16" t="s">
        <v>189</v>
      </c>
      <c r="S10" s="14"/>
    </row>
    <row r="11" spans="1:21">
      <c r="A11" t="s">
        <v>28</v>
      </c>
      <c r="B11" s="4" t="s">
        <v>190</v>
      </c>
      <c r="C11" s="4" t="s">
        <v>191</v>
      </c>
      <c r="D11">
        <f>Q4*Q5*Q12*U4/U3</f>
        <v>90</v>
      </c>
      <c r="E11">
        <v>1</v>
      </c>
      <c r="F11" s="11">
        <f t="shared" si="0"/>
        <v>3.6</v>
      </c>
      <c r="G11" s="8" t="s">
        <v>52</v>
      </c>
      <c r="H11" s="7" t="s">
        <v>192</v>
      </c>
      <c r="I11" s="7" t="s">
        <v>193</v>
      </c>
      <c r="J11">
        <f>R21*D11</f>
        <v>0.1782</v>
      </c>
      <c r="O11" s="14"/>
      <c r="P11" s="16" t="s">
        <v>194</v>
      </c>
      <c r="Q11" s="16" t="s">
        <v>195</v>
      </c>
      <c r="R11" s="17" t="s">
        <v>196</v>
      </c>
      <c r="S11" s="14"/>
    </row>
    <row r="12" spans="1:21">
      <c r="A12" t="s">
        <v>29</v>
      </c>
      <c r="B12" s="4" t="s">
        <v>197</v>
      </c>
      <c r="D12">
        <f>Q4*Q14*3</f>
        <v>67.5</v>
      </c>
      <c r="E12">
        <v>3</v>
      </c>
      <c r="F12" s="11">
        <f>N$5*E12</f>
        <v>10.8</v>
      </c>
      <c r="G12" t="s">
        <v>198</v>
      </c>
      <c r="H12" s="7" t="s">
        <v>199</v>
      </c>
      <c r="I12" s="7" t="s">
        <v>200</v>
      </c>
      <c r="J12">
        <f>R$36*D12</f>
        <v>2.835</v>
      </c>
      <c r="O12" s="14"/>
      <c r="P12" s="16" t="s">
        <v>201</v>
      </c>
      <c r="Q12" s="16">
        <v>25</v>
      </c>
      <c r="R12" s="17" t="s">
        <v>202</v>
      </c>
      <c r="S12" s="14"/>
    </row>
    <row r="13" spans="1:21">
      <c r="A13" t="s">
        <v>30</v>
      </c>
      <c r="B13" s="4" t="s">
        <v>197</v>
      </c>
      <c r="D13">
        <f>Q14*Q4*4</f>
        <v>90</v>
      </c>
      <c r="F13" s="11">
        <f t="shared" si="0"/>
        <v>0</v>
      </c>
      <c r="G13" t="s">
        <v>203</v>
      </c>
      <c r="H13" s="7" t="s">
        <v>204</v>
      </c>
      <c r="I13" s="7" t="s">
        <v>200</v>
      </c>
      <c r="J13">
        <f t="shared" ref="J13:J16" si="2">R$36*D13</f>
        <v>3.7800000000000002</v>
      </c>
      <c r="O13" s="14"/>
      <c r="P13" s="16" t="s">
        <v>205</v>
      </c>
      <c r="Q13" s="16">
        <v>2000</v>
      </c>
      <c r="R13" s="17" t="s">
        <v>206</v>
      </c>
      <c r="S13" s="14"/>
    </row>
    <row r="14" spans="1:21">
      <c r="A14" t="s">
        <v>31</v>
      </c>
      <c r="B14" s="4" t="s">
        <v>197</v>
      </c>
      <c r="D14">
        <f>Q14*Q4*1</f>
        <v>22.5</v>
      </c>
      <c r="E14">
        <v>1</v>
      </c>
      <c r="F14" s="11">
        <f t="shared" si="0"/>
        <v>3.6</v>
      </c>
      <c r="G14">
        <v>1</v>
      </c>
      <c r="H14" s="7" t="s">
        <v>207</v>
      </c>
      <c r="I14" s="7" t="s">
        <v>200</v>
      </c>
      <c r="J14">
        <f t="shared" si="2"/>
        <v>0.94500000000000006</v>
      </c>
      <c r="O14" s="14"/>
      <c r="P14" s="18" t="s">
        <v>208</v>
      </c>
      <c r="Q14" s="16">
        <v>0.75</v>
      </c>
      <c r="R14" s="16"/>
      <c r="S14" s="14"/>
    </row>
    <row r="15" spans="1:21">
      <c r="A15" t="s">
        <v>32</v>
      </c>
      <c r="B15" s="4" t="s">
        <v>197</v>
      </c>
      <c r="D15">
        <v>22.5</v>
      </c>
      <c r="F15" s="11">
        <f t="shared" si="0"/>
        <v>0</v>
      </c>
      <c r="G15">
        <v>1</v>
      </c>
      <c r="H15" s="7" t="s">
        <v>209</v>
      </c>
      <c r="I15" s="7" t="s">
        <v>200</v>
      </c>
      <c r="J15">
        <f t="shared" si="2"/>
        <v>0.94500000000000006</v>
      </c>
      <c r="O15" s="14"/>
      <c r="P15" s="16" t="s">
        <v>210</v>
      </c>
      <c r="Q15" s="16">
        <v>25</v>
      </c>
      <c r="R15" s="17" t="s">
        <v>211</v>
      </c>
      <c r="S15" s="14"/>
    </row>
    <row r="16" spans="1:21">
      <c r="A16" t="s">
        <v>33</v>
      </c>
      <c r="B16" s="4" t="s">
        <v>197</v>
      </c>
      <c r="D16">
        <f>Q14*Q4*2</f>
        <v>45</v>
      </c>
      <c r="E16">
        <v>2</v>
      </c>
      <c r="F16" s="11">
        <f t="shared" si="0"/>
        <v>7.2</v>
      </c>
      <c r="G16" t="s">
        <v>212</v>
      </c>
      <c r="H16" s="7" t="s">
        <v>213</v>
      </c>
      <c r="I16" s="7" t="s">
        <v>200</v>
      </c>
      <c r="J16">
        <f t="shared" si="2"/>
        <v>1.8900000000000001</v>
      </c>
      <c r="O16" s="14"/>
      <c r="P16" s="16" t="s">
        <v>214</v>
      </c>
      <c r="Q16" s="16">
        <f>Q15/10</f>
        <v>2.5</v>
      </c>
      <c r="R16" s="16"/>
      <c r="S16" s="14"/>
    </row>
    <row r="17" spans="1:19">
      <c r="A17" t="s">
        <v>1</v>
      </c>
      <c r="B17" s="4" t="s">
        <v>1</v>
      </c>
      <c r="C17" s="4" t="s">
        <v>215</v>
      </c>
      <c r="D17">
        <f>Q16*Q4*Q5*4</f>
        <v>360</v>
      </c>
      <c r="E17">
        <v>4</v>
      </c>
      <c r="F17" s="11">
        <f t="shared" si="0"/>
        <v>14.4</v>
      </c>
      <c r="G17" t="s">
        <v>203</v>
      </c>
      <c r="H17" s="7" t="s">
        <v>216</v>
      </c>
      <c r="I17" s="7" t="s">
        <v>176</v>
      </c>
      <c r="J17">
        <f>R25*D17</f>
        <v>0.49680000000000007</v>
      </c>
      <c r="O17" s="14"/>
      <c r="P17" s="16" t="s">
        <v>217</v>
      </c>
      <c r="Q17" s="16">
        <v>5</v>
      </c>
      <c r="R17" s="17" t="s">
        <v>218</v>
      </c>
      <c r="S17" s="14"/>
    </row>
    <row r="18" spans="1:19">
      <c r="A18" s="4" t="s">
        <v>219</v>
      </c>
      <c r="B18" s="4" t="s">
        <v>220</v>
      </c>
      <c r="D18">
        <f>(Q17/1000)*3500</f>
        <v>17.5</v>
      </c>
      <c r="E18">
        <v>1</v>
      </c>
      <c r="F18" s="11">
        <f t="shared" si="0"/>
        <v>3.6</v>
      </c>
      <c r="G18" t="s">
        <v>221</v>
      </c>
      <c r="H18" s="7" t="s">
        <v>222</v>
      </c>
      <c r="I18" s="7" t="s">
        <v>185</v>
      </c>
      <c r="J18">
        <f>R27*D18</f>
        <v>1.7849999999999998E-2</v>
      </c>
      <c r="O18" s="14"/>
      <c r="P18" s="16" t="s">
        <v>223</v>
      </c>
      <c r="Q18" s="16">
        <v>2</v>
      </c>
      <c r="R18" s="17" t="s">
        <v>224</v>
      </c>
      <c r="S18" s="14"/>
    </row>
    <row r="19" spans="1:19">
      <c r="A19" t="s">
        <v>35</v>
      </c>
      <c r="B19" s="4" t="s">
        <v>35</v>
      </c>
      <c r="D19">
        <f>2.5*F19</f>
        <v>0.90000000000000013</v>
      </c>
      <c r="E19">
        <v>0.1</v>
      </c>
      <c r="F19" s="11">
        <f>N$5*E19</f>
        <v>0.36000000000000004</v>
      </c>
      <c r="G19" t="s">
        <v>225</v>
      </c>
      <c r="I19" t="s">
        <v>170</v>
      </c>
      <c r="J19">
        <f t="shared" si="1"/>
        <v>1.1340000000000002E-3</v>
      </c>
      <c r="P19" s="14"/>
      <c r="Q19" s="14"/>
      <c r="R19" s="14"/>
    </row>
    <row r="20" spans="1:19">
      <c r="A20" t="s">
        <v>14</v>
      </c>
      <c r="B20" s="4" t="s">
        <v>226</v>
      </c>
      <c r="C20" s="4" t="s">
        <v>227</v>
      </c>
      <c r="D20">
        <f>2.5*F20</f>
        <v>0.90000000000000013</v>
      </c>
      <c r="E20">
        <v>0.1</v>
      </c>
      <c r="F20" s="11">
        <f t="shared" si="0"/>
        <v>0.36000000000000004</v>
      </c>
      <c r="G20" t="s">
        <v>225</v>
      </c>
      <c r="I20" t="s">
        <v>228</v>
      </c>
      <c r="J20">
        <f>R22*D20</f>
        <v>1.1880000000000003E-3</v>
      </c>
      <c r="P20" t="s">
        <v>229</v>
      </c>
      <c r="R20" t="s">
        <v>230</v>
      </c>
    </row>
    <row r="21" spans="1:19">
      <c r="A21" t="s">
        <v>36</v>
      </c>
      <c r="B21" s="4" t="s">
        <v>231</v>
      </c>
      <c r="D21">
        <f>$Q$18*($U$4/$U$3)*$Q$4*$Q$5*2</f>
        <v>14.399999999999999</v>
      </c>
      <c r="E21">
        <v>2</v>
      </c>
      <c r="F21" s="11">
        <f t="shared" si="0"/>
        <v>7.2</v>
      </c>
      <c r="G21" t="s">
        <v>212</v>
      </c>
      <c r="I21" t="s">
        <v>200</v>
      </c>
      <c r="J21">
        <f>R$36*D21</f>
        <v>0.6048</v>
      </c>
      <c r="P21" t="s">
        <v>193</v>
      </c>
      <c r="Q21">
        <v>0.19800000000000001</v>
      </c>
      <c r="R21">
        <f>Q21/100</f>
        <v>1.98E-3</v>
      </c>
    </row>
    <row r="22" spans="1:19">
      <c r="A22" t="s">
        <v>37</v>
      </c>
      <c r="B22" s="4" t="s">
        <v>231</v>
      </c>
      <c r="D22">
        <f>$Q$18*($U$4/$U$3)*$Q$4*$Q$5*0.5</f>
        <v>3.5999999999999996</v>
      </c>
      <c r="E22">
        <v>0.5</v>
      </c>
      <c r="F22" s="11">
        <f t="shared" si="0"/>
        <v>1.8</v>
      </c>
      <c r="G22" t="s">
        <v>232</v>
      </c>
      <c r="I22" t="s">
        <v>200</v>
      </c>
      <c r="J22">
        <f t="shared" ref="J22:J26" si="3">R$36*D22</f>
        <v>0.1512</v>
      </c>
      <c r="P22" s="4" t="s">
        <v>233</v>
      </c>
      <c r="Q22">
        <v>0.13200000000000001</v>
      </c>
      <c r="R22">
        <f t="shared" ref="R22:R31" si="4">Q22/100</f>
        <v>1.32E-3</v>
      </c>
    </row>
    <row r="23" spans="1:19">
      <c r="A23" t="s">
        <v>38</v>
      </c>
      <c r="B23" s="4" t="s">
        <v>231</v>
      </c>
      <c r="D23">
        <f>$Q$18*($U$4/$U$3)*$Q$4*$Q$5*1</f>
        <v>7.1999999999999993</v>
      </c>
      <c r="E23">
        <v>1</v>
      </c>
      <c r="F23" s="11">
        <f t="shared" si="0"/>
        <v>3.6</v>
      </c>
      <c r="G23" t="s">
        <v>52</v>
      </c>
      <c r="I23" t="s">
        <v>200</v>
      </c>
      <c r="J23">
        <f t="shared" si="3"/>
        <v>0.3024</v>
      </c>
      <c r="P23" s="19" t="s">
        <v>234</v>
      </c>
      <c r="R23">
        <v>3.2000000000000002E-3</v>
      </c>
    </row>
    <row r="24" spans="1:19">
      <c r="A24" t="s">
        <v>39</v>
      </c>
      <c r="B24" s="4" t="s">
        <v>231</v>
      </c>
      <c r="D24">
        <f>$Q$18*($U$4/$U$3)*$Q$4*$Q$5*0.5</f>
        <v>3.5999999999999996</v>
      </c>
      <c r="E24">
        <v>0.5</v>
      </c>
      <c r="F24" s="11">
        <f t="shared" si="0"/>
        <v>1.8</v>
      </c>
      <c r="G24" t="s">
        <v>232</v>
      </c>
      <c r="I24" t="s">
        <v>200</v>
      </c>
      <c r="J24">
        <f t="shared" si="3"/>
        <v>0.1512</v>
      </c>
      <c r="P24" t="s">
        <v>235</v>
      </c>
      <c r="Q24">
        <v>0.154</v>
      </c>
      <c r="R24">
        <f t="shared" si="4"/>
        <v>1.5399999999999999E-3</v>
      </c>
    </row>
    <row r="25" spans="1:19">
      <c r="A25" t="s">
        <v>40</v>
      </c>
      <c r="B25" s="4" t="s">
        <v>231</v>
      </c>
      <c r="D25">
        <f>$Q$18*($U$4/$U$3)*$Q$4*$Q$5*1</f>
        <v>7.1999999999999993</v>
      </c>
      <c r="E25">
        <v>1</v>
      </c>
      <c r="F25" s="11">
        <f t="shared" si="0"/>
        <v>3.6</v>
      </c>
      <c r="G25" t="s">
        <v>52</v>
      </c>
      <c r="I25" t="s">
        <v>200</v>
      </c>
      <c r="J25">
        <f t="shared" si="3"/>
        <v>0.3024</v>
      </c>
      <c r="P25" t="s">
        <v>176</v>
      </c>
      <c r="Q25">
        <v>0.13800000000000001</v>
      </c>
      <c r="R25">
        <f t="shared" si="4"/>
        <v>1.3800000000000002E-3</v>
      </c>
    </row>
    <row r="26" spans="1:19">
      <c r="A26" t="s">
        <v>41</v>
      </c>
      <c r="B26" s="4" t="s">
        <v>231</v>
      </c>
      <c r="D26">
        <f>$Q$18*($U$4/$U$3)*$Q$4*$Q$5*2</f>
        <v>14.399999999999999</v>
      </c>
      <c r="E26">
        <v>2</v>
      </c>
      <c r="F26" s="11">
        <f>N$5*E26</f>
        <v>7.2</v>
      </c>
      <c r="G26" t="s">
        <v>212</v>
      </c>
      <c r="I26" t="s">
        <v>200</v>
      </c>
      <c r="J26">
        <f t="shared" si="3"/>
        <v>0.6048</v>
      </c>
      <c r="P26" t="s">
        <v>197</v>
      </c>
      <c r="R26">
        <v>4.2000000000000003E-2</v>
      </c>
    </row>
    <row r="27" spans="1:19">
      <c r="A27" t="s">
        <v>42</v>
      </c>
      <c r="B27" t="s">
        <v>236</v>
      </c>
      <c r="D27">
        <f xml:space="preserve"> 600*0.1</f>
        <v>60</v>
      </c>
      <c r="E27">
        <v>1</v>
      </c>
      <c r="F27" s="11">
        <f t="shared" si="0"/>
        <v>3.6</v>
      </c>
      <c r="G27" t="s">
        <v>237</v>
      </c>
      <c r="I27" t="s">
        <v>170</v>
      </c>
      <c r="J27">
        <f t="shared" si="1"/>
        <v>7.5600000000000001E-2</v>
      </c>
      <c r="P27" s="4" t="s">
        <v>238</v>
      </c>
      <c r="Q27">
        <v>0.10199999999999999</v>
      </c>
      <c r="R27">
        <f t="shared" si="4"/>
        <v>1.0199999999999999E-3</v>
      </c>
    </row>
    <row r="28" spans="1:19">
      <c r="A28" t="s">
        <v>43</v>
      </c>
      <c r="B28" t="s">
        <v>239</v>
      </c>
      <c r="D28">
        <f>1000*0.075</f>
        <v>75</v>
      </c>
      <c r="E28">
        <v>0.5</v>
      </c>
      <c r="F28" s="11">
        <f t="shared" si="0"/>
        <v>1.8</v>
      </c>
      <c r="G28" t="s">
        <v>240</v>
      </c>
      <c r="I28" t="s">
        <v>228</v>
      </c>
      <c r="J28">
        <f>R$22*D28</f>
        <v>9.9000000000000005E-2</v>
      </c>
      <c r="P28" s="47" t="s">
        <v>241</v>
      </c>
      <c r="Q28">
        <v>0.126</v>
      </c>
      <c r="R28">
        <f t="shared" si="4"/>
        <v>1.2600000000000001E-3</v>
      </c>
    </row>
    <row r="29" spans="1:19">
      <c r="A29" t="s">
        <v>44</v>
      </c>
      <c r="B29" t="s">
        <v>242</v>
      </c>
      <c r="D29">
        <v>0.9</v>
      </c>
      <c r="E29">
        <v>0.1</v>
      </c>
      <c r="F29" s="11">
        <f t="shared" si="0"/>
        <v>0.36000000000000004</v>
      </c>
      <c r="G29" t="s">
        <v>243</v>
      </c>
      <c r="I29" t="s">
        <v>170</v>
      </c>
      <c r="J29">
        <f t="shared" si="1"/>
        <v>1.134E-3</v>
      </c>
      <c r="P29" s="4" t="s">
        <v>244</v>
      </c>
      <c r="Q29">
        <v>0.14499999999999999</v>
      </c>
      <c r="R29">
        <f t="shared" si="4"/>
        <v>1.4499999999999999E-3</v>
      </c>
    </row>
    <row r="30" spans="1:19">
      <c r="A30" t="s">
        <v>45</v>
      </c>
      <c r="B30" t="s">
        <v>245</v>
      </c>
      <c r="D30">
        <v>0.9</v>
      </c>
      <c r="E30">
        <v>0.1</v>
      </c>
      <c r="F30" s="11">
        <f t="shared" si="0"/>
        <v>0.36000000000000004</v>
      </c>
      <c r="G30" t="s">
        <v>243</v>
      </c>
      <c r="I30" t="s">
        <v>170</v>
      </c>
      <c r="J30">
        <f t="shared" si="1"/>
        <v>1.134E-3</v>
      </c>
      <c r="P30" t="s">
        <v>246</v>
      </c>
      <c r="Q30">
        <v>0.40699999999999997</v>
      </c>
      <c r="R30">
        <f t="shared" si="4"/>
        <v>4.0699999999999998E-3</v>
      </c>
    </row>
    <row r="31" spans="1:19">
      <c r="A31" t="s">
        <v>46</v>
      </c>
      <c r="B31" t="s">
        <v>220</v>
      </c>
      <c r="D31">
        <f>1500*0.01</f>
        <v>15</v>
      </c>
      <c r="E31">
        <v>0.5</v>
      </c>
      <c r="F31" s="11">
        <f t="shared" si="0"/>
        <v>1.8</v>
      </c>
      <c r="G31" t="s">
        <v>247</v>
      </c>
      <c r="I31" t="s">
        <v>170</v>
      </c>
      <c r="J31">
        <f t="shared" si="1"/>
        <v>1.89E-2</v>
      </c>
      <c r="P31" t="s">
        <v>248</v>
      </c>
      <c r="Q31">
        <v>0.106</v>
      </c>
      <c r="R31">
        <f t="shared" si="4"/>
        <v>1.06E-3</v>
      </c>
    </row>
    <row r="32" spans="1:19">
      <c r="A32" t="s">
        <v>47</v>
      </c>
      <c r="B32" t="s">
        <v>249</v>
      </c>
      <c r="D32">
        <f>15*F32</f>
        <v>324</v>
      </c>
      <c r="E32">
        <v>6</v>
      </c>
      <c r="F32" s="11">
        <f t="shared" si="0"/>
        <v>21.6</v>
      </c>
      <c r="G32" t="s">
        <v>250</v>
      </c>
      <c r="I32" t="s">
        <v>170</v>
      </c>
      <c r="J32">
        <f>R$28*D32</f>
        <v>0.40823999999999999</v>
      </c>
      <c r="P32" t="s">
        <v>251</v>
      </c>
      <c r="R32">
        <v>7.1000000000000004E-3</v>
      </c>
    </row>
    <row r="33" spans="1:19">
      <c r="A33" t="s">
        <v>48</v>
      </c>
      <c r="B33" t="s">
        <v>252</v>
      </c>
      <c r="D33">
        <f>15*0.36</f>
        <v>5.3999999999999995</v>
      </c>
      <c r="E33">
        <v>0.1</v>
      </c>
      <c r="F33" s="11">
        <f t="shared" si="0"/>
        <v>0.36000000000000004</v>
      </c>
      <c r="G33" t="s">
        <v>253</v>
      </c>
      <c r="I33" t="s">
        <v>170</v>
      </c>
      <c r="J33">
        <f t="shared" si="1"/>
        <v>6.8039999999999993E-3</v>
      </c>
      <c r="P33" t="s">
        <v>254</v>
      </c>
      <c r="Q33" s="10" t="s">
        <v>255</v>
      </c>
    </row>
    <row r="34" spans="1:19">
      <c r="A34" t="s">
        <v>49</v>
      </c>
      <c r="B34" t="s">
        <v>256</v>
      </c>
      <c r="D34">
        <f>3000*0.007</f>
        <v>21</v>
      </c>
      <c r="E34">
        <v>1</v>
      </c>
      <c r="F34" s="11">
        <f t="shared" si="0"/>
        <v>3.6</v>
      </c>
      <c r="G34" t="s">
        <v>257</v>
      </c>
      <c r="I34" t="s">
        <v>258</v>
      </c>
      <c r="J34">
        <f>R$29*D34</f>
        <v>3.0449999999999998E-2</v>
      </c>
      <c r="P34" t="s">
        <v>234</v>
      </c>
      <c r="Q34">
        <v>0.32</v>
      </c>
      <c r="R34">
        <f>0.32/100</f>
        <v>3.2000000000000002E-3</v>
      </c>
      <c r="S34" t="s">
        <v>259</v>
      </c>
    </row>
    <row r="35" spans="1:19">
      <c r="A35" t="s">
        <v>50</v>
      </c>
      <c r="B35" t="s">
        <v>256</v>
      </c>
      <c r="D35">
        <f>0.007*2400</f>
        <v>16.8</v>
      </c>
      <c r="E35">
        <v>1</v>
      </c>
      <c r="F35" s="11">
        <f t="shared" si="0"/>
        <v>3.6</v>
      </c>
      <c r="G35" t="s">
        <v>260</v>
      </c>
      <c r="I35" t="s">
        <v>258</v>
      </c>
      <c r="J35">
        <f t="shared" ref="J35:J36" si="5">R$29*D35</f>
        <v>2.436E-2</v>
      </c>
      <c r="P35" s="4" t="s">
        <v>261</v>
      </c>
      <c r="Q35" t="s">
        <v>262</v>
      </c>
      <c r="R35" t="s">
        <v>263</v>
      </c>
      <c r="S35" t="s">
        <v>264</v>
      </c>
    </row>
    <row r="36" spans="1:19">
      <c r="A36" t="s">
        <v>51</v>
      </c>
      <c r="B36" t="s">
        <v>256</v>
      </c>
      <c r="D36">
        <f>0.007*2400</f>
        <v>16.8</v>
      </c>
      <c r="E36">
        <v>1</v>
      </c>
      <c r="F36" s="11">
        <f t="shared" si="0"/>
        <v>3.6</v>
      </c>
      <c r="G36" t="s">
        <v>260</v>
      </c>
      <c r="I36" t="s">
        <v>258</v>
      </c>
      <c r="J36">
        <f t="shared" si="5"/>
        <v>2.436E-2</v>
      </c>
      <c r="P36" s="4" t="s">
        <v>265</v>
      </c>
      <c r="Q36">
        <v>4.2</v>
      </c>
      <c r="R36">
        <f>Q36/100</f>
        <v>4.2000000000000003E-2</v>
      </c>
      <c r="S36" s="24" t="s">
        <v>266</v>
      </c>
    </row>
    <row r="37" spans="1:19">
      <c r="A37" t="s">
        <v>53</v>
      </c>
      <c r="B37" t="s">
        <v>190</v>
      </c>
      <c r="E37">
        <v>0</v>
      </c>
      <c r="F37" s="11">
        <f t="shared" si="0"/>
        <v>0</v>
      </c>
      <c r="P37" s="4" t="s">
        <v>267</v>
      </c>
      <c r="Q37">
        <v>0.71</v>
      </c>
      <c r="R37">
        <f>Q37/100</f>
        <v>7.0999999999999995E-3</v>
      </c>
      <c r="S37" s="24" t="s">
        <v>268</v>
      </c>
    </row>
    <row r="38" spans="1:19">
      <c r="A38" t="s">
        <v>54</v>
      </c>
      <c r="B38" t="s">
        <v>269</v>
      </c>
      <c r="D38" s="14">
        <f>4.04*90</f>
        <v>363.6</v>
      </c>
      <c r="E38">
        <v>4</v>
      </c>
      <c r="F38">
        <f>E38*N5</f>
        <v>14.4</v>
      </c>
      <c r="G38" t="s">
        <v>270</v>
      </c>
      <c r="I38" t="s">
        <v>235</v>
      </c>
      <c r="J38">
        <f>R$24*D38</f>
        <v>0.559944</v>
      </c>
    </row>
    <row r="39" spans="1:19">
      <c r="A39" t="s">
        <v>55</v>
      </c>
      <c r="B39" t="s">
        <v>271</v>
      </c>
      <c r="D39" s="14">
        <f>15*F39</f>
        <v>162</v>
      </c>
      <c r="E39">
        <v>3</v>
      </c>
      <c r="F39">
        <f>E39*$N$5</f>
        <v>10.8</v>
      </c>
      <c r="G39" t="s">
        <v>272</v>
      </c>
      <c r="I39" t="s">
        <v>193</v>
      </c>
      <c r="J39">
        <f>R$21*D39</f>
        <v>0.32075999999999999</v>
      </c>
    </row>
    <row r="40" spans="1:19">
      <c r="A40" t="s">
        <v>56</v>
      </c>
      <c r="B40" t="s">
        <v>271</v>
      </c>
      <c r="D40" s="14">
        <f>15*F40</f>
        <v>108</v>
      </c>
      <c r="E40">
        <v>2</v>
      </c>
      <c r="F40">
        <f t="shared" ref="F40:F56" si="6">E40*$N$5</f>
        <v>7.2</v>
      </c>
      <c r="G40" t="s">
        <v>273</v>
      </c>
      <c r="I40" t="s">
        <v>193</v>
      </c>
      <c r="J40">
        <f t="shared" ref="J40:J53" si="7">R$21*D40</f>
        <v>0.21384</v>
      </c>
    </row>
    <row r="41" spans="1:19">
      <c r="A41" t="s">
        <v>57</v>
      </c>
      <c r="B41" t="s">
        <v>271</v>
      </c>
      <c r="D41" s="14">
        <f>15*F41</f>
        <v>108</v>
      </c>
      <c r="E41">
        <v>2</v>
      </c>
      <c r="F41">
        <f t="shared" si="6"/>
        <v>7.2</v>
      </c>
      <c r="G41" t="s">
        <v>273</v>
      </c>
      <c r="I41" t="s">
        <v>193</v>
      </c>
      <c r="J41">
        <f t="shared" si="7"/>
        <v>0.21384</v>
      </c>
    </row>
    <row r="42" spans="1:19">
      <c r="A42" t="s">
        <v>58</v>
      </c>
      <c r="B42" t="s">
        <v>271</v>
      </c>
      <c r="D42" s="14">
        <f t="shared" ref="D42:D60" si="8">15*F42</f>
        <v>108</v>
      </c>
      <c r="E42">
        <v>2</v>
      </c>
      <c r="F42">
        <f t="shared" si="6"/>
        <v>7.2</v>
      </c>
      <c r="G42" t="s">
        <v>273</v>
      </c>
      <c r="I42" t="s">
        <v>193</v>
      </c>
      <c r="J42">
        <f>R$21*D42</f>
        <v>0.21384</v>
      </c>
    </row>
    <row r="43" spans="1:19">
      <c r="A43" t="s">
        <v>59</v>
      </c>
      <c r="B43" t="s">
        <v>271</v>
      </c>
      <c r="D43" s="14">
        <f t="shared" si="8"/>
        <v>324</v>
      </c>
      <c r="E43">
        <v>6</v>
      </c>
      <c r="F43">
        <f t="shared" si="6"/>
        <v>21.6</v>
      </c>
      <c r="G43" t="s">
        <v>274</v>
      </c>
      <c r="I43" t="s">
        <v>193</v>
      </c>
      <c r="J43">
        <f t="shared" si="7"/>
        <v>0.64151999999999998</v>
      </c>
    </row>
    <row r="44" spans="1:19">
      <c r="A44" t="s">
        <v>60</v>
      </c>
      <c r="B44" t="s">
        <v>271</v>
      </c>
      <c r="D44" s="14">
        <f>15*F44</f>
        <v>27</v>
      </c>
      <c r="E44">
        <v>0.5</v>
      </c>
      <c r="F44">
        <f t="shared" si="6"/>
        <v>1.8</v>
      </c>
      <c r="I44" t="s">
        <v>193</v>
      </c>
      <c r="J44">
        <f t="shared" si="7"/>
        <v>5.3460000000000001E-2</v>
      </c>
    </row>
    <row r="45" spans="1:19">
      <c r="A45" t="s">
        <v>17</v>
      </c>
      <c r="B45" t="s">
        <v>275</v>
      </c>
      <c r="D45" s="14">
        <f t="shared" si="8"/>
        <v>162</v>
      </c>
      <c r="E45">
        <v>3</v>
      </c>
      <c r="F45">
        <f t="shared" si="6"/>
        <v>10.8</v>
      </c>
      <c r="I45" t="s">
        <v>193</v>
      </c>
      <c r="J45">
        <f t="shared" si="7"/>
        <v>0.32075999999999999</v>
      </c>
    </row>
    <row r="46" spans="1:19">
      <c r="A46" t="s">
        <v>62</v>
      </c>
      <c r="B46" t="s">
        <v>271</v>
      </c>
      <c r="D46" s="14">
        <f t="shared" si="8"/>
        <v>81</v>
      </c>
      <c r="E46">
        <v>1.5</v>
      </c>
      <c r="F46">
        <f t="shared" si="6"/>
        <v>5.4</v>
      </c>
      <c r="I46" t="s">
        <v>193</v>
      </c>
      <c r="J46">
        <f t="shared" si="7"/>
        <v>0.16037999999999999</v>
      </c>
    </row>
    <row r="47" spans="1:19">
      <c r="A47" t="s">
        <v>63</v>
      </c>
      <c r="B47" t="s">
        <v>276</v>
      </c>
      <c r="D47" s="14">
        <f t="shared" si="8"/>
        <v>54</v>
      </c>
      <c r="E47">
        <v>1</v>
      </c>
      <c r="F47">
        <f t="shared" si="6"/>
        <v>3.6</v>
      </c>
      <c r="I47" t="s">
        <v>193</v>
      </c>
      <c r="J47">
        <f t="shared" si="7"/>
        <v>0.10692</v>
      </c>
    </row>
    <row r="48" spans="1:19">
      <c r="A48" t="s">
        <v>64</v>
      </c>
      <c r="B48" t="s">
        <v>277</v>
      </c>
      <c r="D48" s="14">
        <f>15*F48</f>
        <v>162</v>
      </c>
      <c r="E48">
        <v>3</v>
      </c>
      <c r="F48">
        <f t="shared" si="6"/>
        <v>10.8</v>
      </c>
      <c r="I48" t="s">
        <v>193</v>
      </c>
      <c r="J48">
        <f>R$21*D48</f>
        <v>0.32075999999999999</v>
      </c>
    </row>
    <row r="49" spans="1:10">
      <c r="A49" t="s">
        <v>65</v>
      </c>
      <c r="B49" t="s">
        <v>271</v>
      </c>
      <c r="D49" s="14">
        <f t="shared" si="8"/>
        <v>162</v>
      </c>
      <c r="E49">
        <v>3</v>
      </c>
      <c r="F49">
        <f t="shared" si="6"/>
        <v>10.8</v>
      </c>
      <c r="I49" t="s">
        <v>193</v>
      </c>
      <c r="J49">
        <f t="shared" si="7"/>
        <v>0.32075999999999999</v>
      </c>
    </row>
    <row r="50" spans="1:10">
      <c r="A50" t="s">
        <v>66</v>
      </c>
      <c r="B50" t="s">
        <v>271</v>
      </c>
      <c r="D50" s="14">
        <f t="shared" si="8"/>
        <v>135</v>
      </c>
      <c r="E50">
        <v>2.5</v>
      </c>
      <c r="F50">
        <f t="shared" si="6"/>
        <v>9</v>
      </c>
      <c r="I50" t="s">
        <v>193</v>
      </c>
      <c r="J50">
        <f t="shared" si="7"/>
        <v>0.26729999999999998</v>
      </c>
    </row>
    <row r="51" spans="1:10">
      <c r="A51" t="s">
        <v>67</v>
      </c>
      <c r="B51" t="s">
        <v>278</v>
      </c>
      <c r="D51" s="14">
        <f t="shared" si="8"/>
        <v>270</v>
      </c>
      <c r="E51">
        <v>5</v>
      </c>
      <c r="F51">
        <f t="shared" si="6"/>
        <v>18</v>
      </c>
      <c r="I51" t="s">
        <v>193</v>
      </c>
      <c r="J51">
        <f t="shared" si="7"/>
        <v>0.53459999999999996</v>
      </c>
    </row>
    <row r="52" spans="1:10">
      <c r="A52" t="s">
        <v>68</v>
      </c>
      <c r="B52" t="s">
        <v>271</v>
      </c>
      <c r="D52" s="14">
        <f t="shared" si="8"/>
        <v>162</v>
      </c>
      <c r="E52">
        <v>3</v>
      </c>
      <c r="F52">
        <f t="shared" si="6"/>
        <v>10.8</v>
      </c>
      <c r="I52" t="s">
        <v>193</v>
      </c>
      <c r="J52">
        <f t="shared" si="7"/>
        <v>0.32075999999999999</v>
      </c>
    </row>
    <row r="53" spans="1:10">
      <c r="A53" t="s">
        <v>69</v>
      </c>
      <c r="D53" s="14">
        <f t="shared" si="8"/>
        <v>270</v>
      </c>
      <c r="E53">
        <v>5</v>
      </c>
      <c r="F53">
        <f t="shared" si="6"/>
        <v>18</v>
      </c>
      <c r="I53" t="s">
        <v>193</v>
      </c>
      <c r="J53">
        <f t="shared" si="7"/>
        <v>0.53459999999999996</v>
      </c>
    </row>
    <row r="54" spans="1:10">
      <c r="A54" t="s">
        <v>70</v>
      </c>
      <c r="D54" s="14">
        <f t="shared" si="8"/>
        <v>81</v>
      </c>
      <c r="E54">
        <v>1.5</v>
      </c>
      <c r="F54">
        <f t="shared" si="6"/>
        <v>5.4</v>
      </c>
      <c r="I54" s="7" t="s">
        <v>185</v>
      </c>
      <c r="J54">
        <f>R$27*D54</f>
        <v>8.2619999999999985E-2</v>
      </c>
    </row>
    <row r="55" spans="1:10">
      <c r="A55" t="s">
        <v>71</v>
      </c>
      <c r="D55" s="14">
        <f t="shared" si="8"/>
        <v>54</v>
      </c>
      <c r="E55">
        <v>1</v>
      </c>
      <c r="F55">
        <f t="shared" si="6"/>
        <v>3.6</v>
      </c>
      <c r="I55" s="7" t="s">
        <v>185</v>
      </c>
      <c r="J55">
        <f>R$27*D55</f>
        <v>5.507999999999999E-2</v>
      </c>
    </row>
    <row r="56" spans="1:10">
      <c r="A56" t="s">
        <v>72</v>
      </c>
      <c r="D56" s="14">
        <f t="shared" si="8"/>
        <v>5.4</v>
      </c>
      <c r="E56">
        <v>0.1</v>
      </c>
      <c r="F56">
        <f t="shared" si="6"/>
        <v>0.36000000000000004</v>
      </c>
      <c r="I56" t="s">
        <v>170</v>
      </c>
      <c r="J56">
        <f t="shared" si="1"/>
        <v>6.804000000000001E-3</v>
      </c>
    </row>
    <row r="57" spans="1:10">
      <c r="A57" t="s">
        <v>73</v>
      </c>
      <c r="D57" s="14">
        <f t="shared" si="8"/>
        <v>5.4</v>
      </c>
      <c r="E57">
        <v>0.1</v>
      </c>
      <c r="F57">
        <f>E57*N5</f>
        <v>0.36000000000000004</v>
      </c>
      <c r="I57" t="s">
        <v>170</v>
      </c>
      <c r="J57">
        <f t="shared" si="1"/>
        <v>6.804000000000001E-3</v>
      </c>
    </row>
    <row r="58" spans="1:10">
      <c r="A58" t="s">
        <v>74</v>
      </c>
      <c r="D58" s="14">
        <f>15*F58</f>
        <v>27</v>
      </c>
      <c r="E58">
        <v>0.5</v>
      </c>
      <c r="F58">
        <f>E58*N5</f>
        <v>1.8</v>
      </c>
      <c r="G58" t="s">
        <v>279</v>
      </c>
      <c r="I58" t="s">
        <v>170</v>
      </c>
      <c r="J58">
        <f t="shared" si="1"/>
        <v>3.4020000000000002E-2</v>
      </c>
    </row>
    <row r="59" spans="1:10">
      <c r="A59" t="s">
        <v>75</v>
      </c>
      <c r="D59" s="14">
        <f t="shared" si="8"/>
        <v>54</v>
      </c>
      <c r="E59">
        <v>1</v>
      </c>
      <c r="F59">
        <f>E59*$N$5</f>
        <v>3.6</v>
      </c>
      <c r="I59" t="s">
        <v>170</v>
      </c>
      <c r="J59">
        <f t="shared" si="1"/>
        <v>6.8040000000000003E-2</v>
      </c>
    </row>
    <row r="60" spans="1:10">
      <c r="A60" t="s">
        <v>76</v>
      </c>
      <c r="D60" s="14">
        <f t="shared" si="8"/>
        <v>5.4</v>
      </c>
      <c r="E60">
        <v>0.1</v>
      </c>
      <c r="F60">
        <f>E60*$N$5</f>
        <v>0.36000000000000004</v>
      </c>
      <c r="I60" t="s">
        <v>170</v>
      </c>
      <c r="J60">
        <f t="shared" si="1"/>
        <v>6.804000000000001E-3</v>
      </c>
    </row>
    <row r="61" spans="1:10">
      <c r="A61" t="s">
        <v>4</v>
      </c>
      <c r="D61" s="14">
        <f>15*F61</f>
        <v>216</v>
      </c>
      <c r="E61">
        <v>4</v>
      </c>
      <c r="F61">
        <f>N5*E61</f>
        <v>14.4</v>
      </c>
      <c r="I61" t="s">
        <v>4</v>
      </c>
      <c r="J61">
        <f>R37*D61</f>
        <v>1.5335999999999999</v>
      </c>
    </row>
    <row r="62" spans="1:10">
      <c r="A62" t="s">
        <v>77</v>
      </c>
      <c r="D62" s="14">
        <f>15*F62</f>
        <v>13.5</v>
      </c>
      <c r="E62">
        <v>0.25</v>
      </c>
      <c r="F62">
        <f>E62*$N$5</f>
        <v>0.9</v>
      </c>
      <c r="I62" t="s">
        <v>185</v>
      </c>
      <c r="J62">
        <f>R$27*D62</f>
        <v>1.3769999999999998E-2</v>
      </c>
    </row>
    <row r="63" spans="1:10">
      <c r="A63" t="s">
        <v>78</v>
      </c>
      <c r="D63" s="14">
        <v>0.9</v>
      </c>
      <c r="E63">
        <v>0.1</v>
      </c>
      <c r="I63" t="s">
        <v>170</v>
      </c>
      <c r="J63">
        <f t="shared" si="1"/>
        <v>1.134E-3</v>
      </c>
    </row>
    <row r="64" spans="1:10">
      <c r="A64" t="s">
        <v>79</v>
      </c>
      <c r="D64" s="14">
        <f t="shared" ref="D64:D65" si="9">15*F64</f>
        <v>54</v>
      </c>
      <c r="E64">
        <v>1</v>
      </c>
      <c r="F64">
        <f>E64*$N$5</f>
        <v>3.6</v>
      </c>
      <c r="I64" t="s">
        <v>246</v>
      </c>
      <c r="J64">
        <f>R$30*D64</f>
        <v>0.21978</v>
      </c>
    </row>
    <row r="65" spans="1:10">
      <c r="A65" t="s">
        <v>80</v>
      </c>
      <c r="D65" s="14">
        <f t="shared" si="9"/>
        <v>162</v>
      </c>
      <c r="E65">
        <v>3</v>
      </c>
      <c r="F65">
        <f t="shared" ref="F65:F74" si="10">E65*$N$5</f>
        <v>10.8</v>
      </c>
      <c r="I65" t="s">
        <v>176</v>
      </c>
      <c r="J65">
        <f>R$25*D65</f>
        <v>0.22356000000000004</v>
      </c>
    </row>
    <row r="66" spans="1:10">
      <c r="A66" t="s">
        <v>6</v>
      </c>
      <c r="D66" s="14">
        <f>30*F66</f>
        <v>216</v>
      </c>
      <c r="E66">
        <v>2</v>
      </c>
      <c r="F66">
        <f t="shared" si="10"/>
        <v>7.2</v>
      </c>
      <c r="I66" t="s">
        <v>228</v>
      </c>
      <c r="J66">
        <f>R$22*D66</f>
        <v>0.28511999999999998</v>
      </c>
    </row>
    <row r="67" spans="1:10">
      <c r="A67" t="s">
        <v>81</v>
      </c>
      <c r="D67" s="14">
        <f>40*F67</f>
        <v>144</v>
      </c>
      <c r="E67">
        <v>1</v>
      </c>
      <c r="F67">
        <f t="shared" si="10"/>
        <v>3.6</v>
      </c>
      <c r="I67" t="s">
        <v>228</v>
      </c>
      <c r="J67">
        <f t="shared" ref="J67:J69" si="11">R$22*D67</f>
        <v>0.19008</v>
      </c>
    </row>
    <row r="68" spans="1:10">
      <c r="A68" t="s">
        <v>82</v>
      </c>
      <c r="D68" s="14">
        <f t="shared" ref="D68:D69" si="12">40*F68</f>
        <v>576</v>
      </c>
      <c r="E68">
        <v>4</v>
      </c>
      <c r="F68">
        <f t="shared" si="10"/>
        <v>14.4</v>
      </c>
      <c r="I68" t="s">
        <v>228</v>
      </c>
      <c r="J68">
        <f t="shared" si="11"/>
        <v>0.76032</v>
      </c>
    </row>
    <row r="69" spans="1:10">
      <c r="A69" t="s">
        <v>83</v>
      </c>
      <c r="D69" s="14">
        <f t="shared" si="12"/>
        <v>576</v>
      </c>
      <c r="E69">
        <v>4</v>
      </c>
      <c r="F69">
        <f t="shared" si="10"/>
        <v>14.4</v>
      </c>
      <c r="I69" t="s">
        <v>228</v>
      </c>
      <c r="J69">
        <f t="shared" si="11"/>
        <v>0.76032</v>
      </c>
    </row>
    <row r="70" spans="1:10">
      <c r="A70" t="s">
        <v>84</v>
      </c>
      <c r="D70" s="19">
        <f>15*F70</f>
        <v>54</v>
      </c>
      <c r="E70">
        <v>1</v>
      </c>
      <c r="F70">
        <f t="shared" si="10"/>
        <v>3.6</v>
      </c>
      <c r="I70" t="s">
        <v>176</v>
      </c>
      <c r="J70">
        <f>R$25*D70</f>
        <v>7.4520000000000003E-2</v>
      </c>
    </row>
    <row r="71" spans="1:10">
      <c r="A71" t="s">
        <v>85</v>
      </c>
      <c r="D71" s="14">
        <v>0.9</v>
      </c>
      <c r="E71">
        <v>0.1</v>
      </c>
      <c r="F71">
        <f t="shared" si="10"/>
        <v>0.36000000000000004</v>
      </c>
      <c r="I71" t="s">
        <v>170</v>
      </c>
      <c r="J71">
        <f t="shared" ref="J71:J128" si="13">R$28*D71</f>
        <v>1.134E-3</v>
      </c>
    </row>
    <row r="72" spans="1:10">
      <c r="A72" t="s">
        <v>86</v>
      </c>
      <c r="D72" s="14">
        <f>5*F72</f>
        <v>9</v>
      </c>
      <c r="E72">
        <v>0.5</v>
      </c>
      <c r="F72">
        <f t="shared" si="10"/>
        <v>1.8</v>
      </c>
      <c r="I72" t="s">
        <v>228</v>
      </c>
      <c r="J72">
        <f>R$22*D72</f>
        <v>1.188E-2</v>
      </c>
    </row>
    <row r="73" spans="1:10">
      <c r="A73" t="s">
        <v>87</v>
      </c>
      <c r="D73" s="19">
        <f>F73*10</f>
        <v>36</v>
      </c>
      <c r="E73">
        <v>1</v>
      </c>
      <c r="F73">
        <f t="shared" si="10"/>
        <v>3.6</v>
      </c>
      <c r="I73" t="s">
        <v>248</v>
      </c>
      <c r="J73">
        <f>R$31*D73</f>
        <v>3.8159999999999999E-2</v>
      </c>
    </row>
    <row r="74" spans="1:10">
      <c r="A74" t="s">
        <v>88</v>
      </c>
      <c r="D74" s="14">
        <v>0.9</v>
      </c>
      <c r="E74">
        <v>0.1</v>
      </c>
      <c r="F74">
        <f t="shared" si="10"/>
        <v>0.36000000000000004</v>
      </c>
      <c r="I74" t="s">
        <v>248</v>
      </c>
      <c r="J74">
        <f>R$31*D74</f>
        <v>9.5399999999999999E-4</v>
      </c>
    </row>
    <row r="75" spans="1:10">
      <c r="A75" t="s">
        <v>8</v>
      </c>
      <c r="D75" s="14">
        <f>60*F75</f>
        <v>2160</v>
      </c>
      <c r="E75">
        <v>10</v>
      </c>
      <c r="F75">
        <f>E75*$N$5</f>
        <v>36</v>
      </c>
      <c r="I75" t="s">
        <v>235</v>
      </c>
      <c r="J75">
        <f>R$24*D75</f>
        <v>3.3264</v>
      </c>
    </row>
    <row r="76" spans="1:10">
      <c r="A76" t="s">
        <v>89</v>
      </c>
      <c r="D76" s="14"/>
    </row>
    <row r="77" spans="1:10">
      <c r="A77" t="s">
        <v>90</v>
      </c>
      <c r="D77" s="14">
        <f>30*F77</f>
        <v>216</v>
      </c>
      <c r="E77">
        <v>2</v>
      </c>
      <c r="F77">
        <f>E77*$N$5</f>
        <v>7.2</v>
      </c>
      <c r="I77" t="s">
        <v>258</v>
      </c>
      <c r="J77">
        <f>R$29*D77</f>
        <v>0.31319999999999998</v>
      </c>
    </row>
    <row r="78" spans="1:10">
      <c r="A78" t="s">
        <v>91</v>
      </c>
      <c r="D78" s="14">
        <f t="shared" ref="D78:D79" si="14">30*F78</f>
        <v>324</v>
      </c>
      <c r="E78">
        <v>3</v>
      </c>
      <c r="F78">
        <f t="shared" ref="F78:F88" si="15">E78*$N$5</f>
        <v>10.8</v>
      </c>
      <c r="I78" t="s">
        <v>258</v>
      </c>
      <c r="J78">
        <f t="shared" ref="J78:J79" si="16">R$29*D78</f>
        <v>0.4698</v>
      </c>
    </row>
    <row r="79" spans="1:10">
      <c r="A79" t="s">
        <v>92</v>
      </c>
      <c r="D79" s="14">
        <f t="shared" si="14"/>
        <v>108</v>
      </c>
      <c r="E79">
        <v>1</v>
      </c>
      <c r="F79">
        <f t="shared" si="15"/>
        <v>3.6</v>
      </c>
      <c r="I79" t="s">
        <v>258</v>
      </c>
      <c r="J79">
        <f t="shared" si="16"/>
        <v>0.15659999999999999</v>
      </c>
    </row>
    <row r="80" spans="1:10">
      <c r="A80" t="s">
        <v>93</v>
      </c>
      <c r="D80" s="14">
        <f>20*F80</f>
        <v>72</v>
      </c>
      <c r="E80">
        <v>1</v>
      </c>
      <c r="F80">
        <f t="shared" si="15"/>
        <v>3.6</v>
      </c>
      <c r="I80" t="s">
        <v>185</v>
      </c>
      <c r="J80">
        <f>R$27*D80</f>
        <v>7.3439999999999991E-2</v>
      </c>
    </row>
    <row r="81" spans="1:10">
      <c r="A81" t="s">
        <v>94</v>
      </c>
      <c r="D81" s="14">
        <f>15*F81</f>
        <v>13.5</v>
      </c>
      <c r="E81">
        <v>0.25</v>
      </c>
      <c r="F81">
        <f t="shared" si="15"/>
        <v>0.9</v>
      </c>
      <c r="I81" t="s">
        <v>185</v>
      </c>
      <c r="J81">
        <f t="shared" ref="J81:J82" si="17">R$27*D81</f>
        <v>1.3769999999999998E-2</v>
      </c>
    </row>
    <row r="82" spans="1:10">
      <c r="A82" t="s">
        <v>95</v>
      </c>
      <c r="D82" s="14">
        <f>15*F82</f>
        <v>13.5</v>
      </c>
      <c r="E82">
        <v>0.25</v>
      </c>
      <c r="F82">
        <f t="shared" si="15"/>
        <v>0.9</v>
      </c>
      <c r="I82" t="s">
        <v>185</v>
      </c>
      <c r="J82">
        <f t="shared" si="17"/>
        <v>1.3769999999999998E-2</v>
      </c>
    </row>
    <row r="83" spans="1:10">
      <c r="A83" t="s">
        <v>96</v>
      </c>
      <c r="D83" s="14">
        <f>0.15*150</f>
        <v>22.5</v>
      </c>
      <c r="E83" t="s">
        <v>97</v>
      </c>
      <c r="I83" t="s">
        <v>170</v>
      </c>
      <c r="J83">
        <f t="shared" si="13"/>
        <v>2.835E-2</v>
      </c>
    </row>
    <row r="84" spans="1:10">
      <c r="A84" t="s">
        <v>98</v>
      </c>
      <c r="D84" s="14">
        <f>0.15*300</f>
        <v>45</v>
      </c>
      <c r="E84" t="s">
        <v>13</v>
      </c>
      <c r="I84" t="s">
        <v>170</v>
      </c>
      <c r="J84">
        <f t="shared" si="13"/>
        <v>5.67E-2</v>
      </c>
    </row>
    <row r="85" spans="1:10">
      <c r="A85" t="s">
        <v>99</v>
      </c>
      <c r="D85" s="14">
        <f>0.15*400</f>
        <v>60</v>
      </c>
      <c r="E85" t="s">
        <v>100</v>
      </c>
      <c r="I85" t="s">
        <v>170</v>
      </c>
      <c r="J85">
        <f t="shared" si="13"/>
        <v>7.5600000000000001E-2</v>
      </c>
    </row>
    <row r="86" spans="1:10">
      <c r="A86" t="s">
        <v>101</v>
      </c>
      <c r="D86" s="14">
        <f>0.15*150</f>
        <v>22.5</v>
      </c>
      <c r="E86" t="s">
        <v>97</v>
      </c>
      <c r="I86" t="s">
        <v>170</v>
      </c>
      <c r="J86">
        <f t="shared" si="13"/>
        <v>2.835E-2</v>
      </c>
    </row>
    <row r="87" spans="1:10">
      <c r="A87" t="s">
        <v>12</v>
      </c>
      <c r="D87" s="14">
        <v>0.9</v>
      </c>
      <c r="E87">
        <v>0.1</v>
      </c>
      <c r="F87">
        <f t="shared" si="15"/>
        <v>0.36000000000000004</v>
      </c>
      <c r="I87" t="s">
        <v>170</v>
      </c>
      <c r="J87">
        <f t="shared" si="13"/>
        <v>1.134E-3</v>
      </c>
    </row>
    <row r="88" spans="1:10">
      <c r="A88" t="s">
        <v>102</v>
      </c>
      <c r="D88" s="14">
        <f>F88*15</f>
        <v>324</v>
      </c>
      <c r="E88">
        <v>6</v>
      </c>
      <c r="F88">
        <f t="shared" si="15"/>
        <v>21.6</v>
      </c>
      <c r="I88" t="s">
        <v>170</v>
      </c>
      <c r="J88">
        <f t="shared" si="13"/>
        <v>0.40823999999999999</v>
      </c>
    </row>
    <row r="89" spans="1:10">
      <c r="A89" t="s">
        <v>103</v>
      </c>
      <c r="D89" s="14">
        <f>800*0.7</f>
        <v>560</v>
      </c>
      <c r="E89" t="s">
        <v>61</v>
      </c>
      <c r="I89" t="s">
        <v>170</v>
      </c>
      <c r="J89">
        <f t="shared" si="13"/>
        <v>0.7056</v>
      </c>
    </row>
    <row r="90" spans="1:10">
      <c r="A90" t="s">
        <v>104</v>
      </c>
      <c r="D90" s="14">
        <f>0.4*500</f>
        <v>200</v>
      </c>
      <c r="E90" t="s">
        <v>24</v>
      </c>
      <c r="I90" t="s">
        <v>170</v>
      </c>
      <c r="J90">
        <f t="shared" si="13"/>
        <v>0.252</v>
      </c>
    </row>
    <row r="91" spans="1:10">
      <c r="A91" t="s">
        <v>105</v>
      </c>
      <c r="D91" s="14">
        <f>15*F91</f>
        <v>0</v>
      </c>
      <c r="E91">
        <v>0</v>
      </c>
      <c r="F91">
        <f>E91*$N$5</f>
        <v>0</v>
      </c>
    </row>
    <row r="92" spans="1:10">
      <c r="A92" t="s">
        <v>106</v>
      </c>
      <c r="D92" s="14">
        <f>15*F92</f>
        <v>54</v>
      </c>
      <c r="E92">
        <v>1</v>
      </c>
      <c r="F92">
        <f t="shared" ref="F92:F144" si="18">E92*$N$5</f>
        <v>3.6</v>
      </c>
      <c r="I92" t="s">
        <v>170</v>
      </c>
      <c r="J92">
        <f t="shared" si="13"/>
        <v>6.8040000000000003E-2</v>
      </c>
    </row>
    <row r="93" spans="1:10">
      <c r="A93" t="s">
        <v>107</v>
      </c>
      <c r="D93" s="14">
        <f>2*F93</f>
        <v>7.2</v>
      </c>
      <c r="E93">
        <v>1</v>
      </c>
      <c r="F93">
        <f t="shared" si="18"/>
        <v>3.6</v>
      </c>
      <c r="I93" t="s">
        <v>200</v>
      </c>
      <c r="J93">
        <f>R$36*D93</f>
        <v>0.3024</v>
      </c>
    </row>
    <row r="94" spans="1:10">
      <c r="A94" t="s">
        <v>7</v>
      </c>
      <c r="D94" s="14">
        <f>40*F94</f>
        <v>864</v>
      </c>
      <c r="E94">
        <v>6</v>
      </c>
      <c r="F94">
        <f t="shared" si="18"/>
        <v>21.6</v>
      </c>
      <c r="I94" t="s">
        <v>248</v>
      </c>
      <c r="J94">
        <f>R$31*D94</f>
        <v>0.91583999999999999</v>
      </c>
    </row>
    <row r="95" spans="1:10">
      <c r="A95" t="s">
        <v>108</v>
      </c>
      <c r="D95" s="14">
        <v>0.9</v>
      </c>
      <c r="E95">
        <v>0.1</v>
      </c>
      <c r="F95">
        <f t="shared" si="18"/>
        <v>0.36000000000000004</v>
      </c>
      <c r="I95" t="s">
        <v>170</v>
      </c>
      <c r="J95">
        <f t="shared" si="13"/>
        <v>1.134E-3</v>
      </c>
    </row>
    <row r="96" spans="1:10">
      <c r="A96" t="s">
        <v>3</v>
      </c>
      <c r="D96" s="14">
        <f>12*F96</f>
        <v>172.8</v>
      </c>
      <c r="E96">
        <v>4</v>
      </c>
      <c r="F96">
        <f t="shared" si="18"/>
        <v>14.4</v>
      </c>
      <c r="I96" t="s">
        <v>200</v>
      </c>
      <c r="J96">
        <f>R$36*D96</f>
        <v>7.2576000000000009</v>
      </c>
    </row>
    <row r="97" spans="1:10">
      <c r="A97" t="s">
        <v>109</v>
      </c>
      <c r="D97" s="14">
        <f>20*F97</f>
        <v>144</v>
      </c>
      <c r="E97">
        <v>2</v>
      </c>
      <c r="F97">
        <f t="shared" si="18"/>
        <v>7.2</v>
      </c>
      <c r="I97" t="s">
        <v>258</v>
      </c>
      <c r="J97">
        <f>R$29*D97</f>
        <v>0.20879999999999999</v>
      </c>
    </row>
    <row r="98" spans="1:10">
      <c r="A98" t="s">
        <v>110</v>
      </c>
      <c r="D98" s="14">
        <f>20*F98</f>
        <v>216</v>
      </c>
      <c r="E98">
        <v>3</v>
      </c>
      <c r="F98">
        <f t="shared" si="18"/>
        <v>10.8</v>
      </c>
      <c r="I98" t="s">
        <v>258</v>
      </c>
      <c r="J98">
        <f>R$29*D98</f>
        <v>0.31319999999999998</v>
      </c>
    </row>
    <row r="99" spans="1:10">
      <c r="A99" t="s">
        <v>111</v>
      </c>
      <c r="D99" s="14">
        <f>15*F99</f>
        <v>108</v>
      </c>
      <c r="E99">
        <v>2</v>
      </c>
      <c r="F99">
        <f t="shared" si="18"/>
        <v>7.2</v>
      </c>
      <c r="I99" t="s">
        <v>193</v>
      </c>
      <c r="J99">
        <f>R$21*D99</f>
        <v>0.21384</v>
      </c>
    </row>
    <row r="100" spans="1:10">
      <c r="A100" t="s">
        <v>112</v>
      </c>
      <c r="D100" s="14">
        <f t="shared" ref="D100:D101" si="19">15*F100</f>
        <v>54</v>
      </c>
      <c r="E100">
        <v>1</v>
      </c>
      <c r="F100">
        <f t="shared" si="18"/>
        <v>3.6</v>
      </c>
      <c r="I100" t="s">
        <v>170</v>
      </c>
      <c r="J100">
        <f t="shared" si="13"/>
        <v>6.8040000000000003E-2</v>
      </c>
    </row>
    <row r="101" spans="1:10">
      <c r="A101" t="s">
        <v>113</v>
      </c>
      <c r="D101" s="14">
        <f t="shared" si="19"/>
        <v>81</v>
      </c>
      <c r="E101">
        <v>1.5</v>
      </c>
      <c r="F101">
        <f t="shared" si="18"/>
        <v>5.4</v>
      </c>
      <c r="I101" t="s">
        <v>170</v>
      </c>
      <c r="J101">
        <f t="shared" si="13"/>
        <v>0.10206</v>
      </c>
    </row>
    <row r="102" spans="1:10">
      <c r="A102" t="s">
        <v>18</v>
      </c>
      <c r="D102" s="14">
        <v>0.9</v>
      </c>
      <c r="E102">
        <v>0.1</v>
      </c>
      <c r="F102">
        <f t="shared" si="18"/>
        <v>0.36000000000000004</v>
      </c>
      <c r="I102" t="s">
        <v>170</v>
      </c>
      <c r="J102">
        <f t="shared" si="13"/>
        <v>1.134E-3</v>
      </c>
    </row>
    <row r="103" spans="1:10">
      <c r="A103" t="s">
        <v>114</v>
      </c>
      <c r="B103" t="s">
        <v>114</v>
      </c>
      <c r="D103" s="19">
        <f>10*F103</f>
        <v>108</v>
      </c>
      <c r="E103">
        <v>3</v>
      </c>
      <c r="F103">
        <f t="shared" si="18"/>
        <v>10.8</v>
      </c>
      <c r="I103" t="s">
        <v>228</v>
      </c>
      <c r="J103">
        <f>R$22*D103</f>
        <v>0.14255999999999999</v>
      </c>
    </row>
    <row r="104" spans="1:10">
      <c r="A104" t="s">
        <v>115</v>
      </c>
      <c r="D104" s="14">
        <f>15*F104</f>
        <v>54</v>
      </c>
      <c r="E104">
        <v>1</v>
      </c>
      <c r="F104">
        <f t="shared" si="18"/>
        <v>3.6</v>
      </c>
      <c r="I104" t="s">
        <v>170</v>
      </c>
      <c r="J104">
        <f t="shared" si="13"/>
        <v>6.8040000000000003E-2</v>
      </c>
    </row>
    <row r="105" spans="1:10">
      <c r="A105" t="s">
        <v>116</v>
      </c>
      <c r="D105" s="14">
        <v>0.9</v>
      </c>
      <c r="E105">
        <v>0.1</v>
      </c>
      <c r="F105">
        <f t="shared" si="18"/>
        <v>0.36000000000000004</v>
      </c>
      <c r="I105" t="s">
        <v>200</v>
      </c>
      <c r="J105">
        <f>R$36*D105</f>
        <v>3.78E-2</v>
      </c>
    </row>
    <row r="106" spans="1:10">
      <c r="A106" t="s">
        <v>117</v>
      </c>
      <c r="D106" s="14"/>
      <c r="E106">
        <v>0</v>
      </c>
      <c r="F106">
        <f t="shared" si="18"/>
        <v>0</v>
      </c>
    </row>
    <row r="107" spans="1:10">
      <c r="A107" t="s">
        <v>118</v>
      </c>
      <c r="D107" s="14"/>
      <c r="F107">
        <f t="shared" si="18"/>
        <v>0</v>
      </c>
    </row>
    <row r="108" spans="1:10">
      <c r="A108" t="s">
        <v>119</v>
      </c>
      <c r="D108" s="14"/>
      <c r="F108">
        <f t="shared" si="18"/>
        <v>0</v>
      </c>
    </row>
    <row r="109" spans="1:10">
      <c r="A109" t="s">
        <v>120</v>
      </c>
      <c r="D109" s="14"/>
      <c r="F109">
        <f t="shared" si="18"/>
        <v>0</v>
      </c>
    </row>
    <row r="110" spans="1:10">
      <c r="A110" t="s">
        <v>121</v>
      </c>
      <c r="D110" s="14"/>
      <c r="F110">
        <f t="shared" si="18"/>
        <v>0</v>
      </c>
    </row>
    <row r="111" spans="1:10">
      <c r="A111" t="s">
        <v>19</v>
      </c>
      <c r="D111" s="14"/>
      <c r="F111">
        <f t="shared" si="18"/>
        <v>0</v>
      </c>
    </row>
    <row r="112" spans="1:10">
      <c r="A112" t="s">
        <v>122</v>
      </c>
      <c r="D112" s="14"/>
      <c r="F112">
        <f t="shared" si="18"/>
        <v>0</v>
      </c>
    </row>
    <row r="113" spans="1:10">
      <c r="A113" t="s">
        <v>123</v>
      </c>
      <c r="D113" s="14"/>
      <c r="F113">
        <f t="shared" si="18"/>
        <v>0</v>
      </c>
    </row>
    <row r="114" spans="1:10">
      <c r="A114" t="s">
        <v>0</v>
      </c>
      <c r="D114" s="19">
        <f>F114*5</f>
        <v>54</v>
      </c>
      <c r="E114">
        <v>3</v>
      </c>
      <c r="F114">
        <f t="shared" si="18"/>
        <v>10.8</v>
      </c>
      <c r="I114" t="s">
        <v>193</v>
      </c>
      <c r="J114">
        <f>R$21*D114</f>
        <v>0.10692</v>
      </c>
    </row>
    <row r="115" spans="1:10">
      <c r="A115" t="s">
        <v>2</v>
      </c>
      <c r="D115" s="19">
        <f>F115*60</f>
        <v>648</v>
      </c>
      <c r="E115">
        <v>3</v>
      </c>
      <c r="F115">
        <f t="shared" si="18"/>
        <v>10.8</v>
      </c>
      <c r="I115" t="s">
        <v>193</v>
      </c>
      <c r="J115">
        <f>R$21*D115</f>
        <v>1.28304</v>
      </c>
    </row>
    <row r="116" spans="1:10">
      <c r="A116" t="s">
        <v>124</v>
      </c>
      <c r="D116" s="14">
        <v>100</v>
      </c>
      <c r="F116">
        <f t="shared" si="18"/>
        <v>0</v>
      </c>
      <c r="I116" t="s">
        <v>160</v>
      </c>
      <c r="J116">
        <f>R$34*D116</f>
        <v>0.32</v>
      </c>
    </row>
    <row r="117" spans="1:10">
      <c r="A117" t="s">
        <v>125</v>
      </c>
      <c r="D117" s="14">
        <f>F117*15</f>
        <v>27</v>
      </c>
      <c r="E117">
        <v>0.5</v>
      </c>
      <c r="F117">
        <f t="shared" si="18"/>
        <v>1.8</v>
      </c>
      <c r="I117" t="s">
        <v>170</v>
      </c>
      <c r="J117">
        <f t="shared" si="13"/>
        <v>3.4020000000000002E-2</v>
      </c>
    </row>
    <row r="118" spans="1:10">
      <c r="A118" t="s">
        <v>126</v>
      </c>
      <c r="D118" s="14"/>
      <c r="F118">
        <f t="shared" si="18"/>
        <v>0</v>
      </c>
    </row>
    <row r="119" spans="1:10">
      <c r="A119" t="s">
        <v>127</v>
      </c>
      <c r="D119" s="14">
        <f>2.5*F119</f>
        <v>2.25</v>
      </c>
      <c r="E119">
        <v>0.25</v>
      </c>
      <c r="F119">
        <f t="shared" si="18"/>
        <v>0.9</v>
      </c>
      <c r="I119" t="s">
        <v>170</v>
      </c>
      <c r="J119">
        <f t="shared" si="13"/>
        <v>2.8350000000000003E-3</v>
      </c>
    </row>
    <row r="120" spans="1:10">
      <c r="A120" t="s">
        <v>15</v>
      </c>
      <c r="D120" s="14">
        <v>2</v>
      </c>
      <c r="E120" t="s">
        <v>128</v>
      </c>
      <c r="I120" t="s">
        <v>228</v>
      </c>
      <c r="J120">
        <f>R$22*D120</f>
        <v>2.64E-3</v>
      </c>
    </row>
    <row r="121" spans="1:10">
      <c r="A121" t="s">
        <v>5</v>
      </c>
      <c r="D121">
        <f>F121*10</f>
        <v>7.2000000000000011</v>
      </c>
      <c r="E121">
        <v>0.2</v>
      </c>
      <c r="F121">
        <f t="shared" si="18"/>
        <v>0.72000000000000008</v>
      </c>
      <c r="I121" t="s">
        <v>170</v>
      </c>
      <c r="J121">
        <f t="shared" si="13"/>
        <v>9.0720000000000019E-3</v>
      </c>
    </row>
    <row r="122" spans="1:10">
      <c r="A122" t="s">
        <v>129</v>
      </c>
    </row>
    <row r="123" spans="1:10">
      <c r="A123" t="s">
        <v>130</v>
      </c>
    </row>
    <row r="125" spans="1:10">
      <c r="A125" t="s">
        <v>34</v>
      </c>
    </row>
    <row r="126" spans="1:10">
      <c r="A126" t="s">
        <v>131</v>
      </c>
    </row>
    <row r="127" spans="1:10">
      <c r="A127" t="s">
        <v>132</v>
      </c>
      <c r="D127">
        <f>2.5*F127</f>
        <v>1.8000000000000003</v>
      </c>
      <c r="E127">
        <v>0.2</v>
      </c>
      <c r="F127">
        <f t="shared" si="18"/>
        <v>0.72000000000000008</v>
      </c>
      <c r="I127" t="s">
        <v>170</v>
      </c>
      <c r="J127">
        <f t="shared" si="13"/>
        <v>2.2680000000000005E-3</v>
      </c>
    </row>
    <row r="128" spans="1:10">
      <c r="A128" t="s">
        <v>10</v>
      </c>
      <c r="D128">
        <f>2.5*F128</f>
        <v>1.8000000000000003</v>
      </c>
      <c r="E128">
        <v>0.2</v>
      </c>
      <c r="F128">
        <f t="shared" si="18"/>
        <v>0.72000000000000008</v>
      </c>
      <c r="I128" t="s">
        <v>170</v>
      </c>
      <c r="J128">
        <f t="shared" si="13"/>
        <v>2.2680000000000005E-3</v>
      </c>
    </row>
    <row r="129" spans="1:10">
      <c r="A129" t="s">
        <v>133</v>
      </c>
    </row>
    <row r="130" spans="1:10">
      <c r="A130" t="s">
        <v>9</v>
      </c>
    </row>
    <row r="131" spans="1:10">
      <c r="A131" t="s">
        <v>18</v>
      </c>
    </row>
    <row r="132" spans="1:10">
      <c r="A132" t="s">
        <v>134</v>
      </c>
    </row>
    <row r="133" spans="1:10">
      <c r="A133" t="s">
        <v>135</v>
      </c>
    </row>
    <row r="134" spans="1:10">
      <c r="A134" t="s">
        <v>136</v>
      </c>
    </row>
    <row r="135" spans="1:10">
      <c r="A135" t="s">
        <v>137</v>
      </c>
    </row>
    <row r="137" spans="1:10">
      <c r="A137" t="s">
        <v>11</v>
      </c>
    </row>
    <row r="138" spans="1:10">
      <c r="A138" t="s">
        <v>16</v>
      </c>
    </row>
    <row r="139" spans="1:10">
      <c r="A139" t="s">
        <v>138</v>
      </c>
      <c r="D139">
        <f>2.5*F139</f>
        <v>0.90000000000000013</v>
      </c>
      <c r="E139">
        <v>0.1</v>
      </c>
      <c r="F139">
        <f t="shared" si="18"/>
        <v>0.36000000000000004</v>
      </c>
      <c r="I139" t="s">
        <v>170</v>
      </c>
      <c r="J139">
        <f t="shared" ref="J139:J142" si="20">R$28*D139</f>
        <v>1.1340000000000002E-3</v>
      </c>
    </row>
    <row r="140" spans="1:10">
      <c r="A140" t="s">
        <v>139</v>
      </c>
      <c r="D140">
        <v>0.9</v>
      </c>
      <c r="E140">
        <v>0.1</v>
      </c>
      <c r="F140">
        <f t="shared" si="18"/>
        <v>0.36000000000000004</v>
      </c>
      <c r="I140" t="s">
        <v>170</v>
      </c>
      <c r="J140">
        <f t="shared" si="20"/>
        <v>1.134E-3</v>
      </c>
    </row>
    <row r="141" spans="1:10">
      <c r="A141" t="s">
        <v>140</v>
      </c>
    </row>
    <row r="142" spans="1:10">
      <c r="A142" t="s">
        <v>141</v>
      </c>
      <c r="D142">
        <v>0.9</v>
      </c>
      <c r="E142">
        <v>0.1</v>
      </c>
      <c r="F142">
        <f t="shared" si="18"/>
        <v>0.36000000000000004</v>
      </c>
      <c r="I142" t="s">
        <v>170</v>
      </c>
      <c r="J142">
        <f t="shared" si="20"/>
        <v>1.134E-3</v>
      </c>
    </row>
    <row r="143" spans="1:10">
      <c r="A143" t="s">
        <v>142</v>
      </c>
    </row>
    <row r="144" spans="1:10">
      <c r="A144" t="s">
        <v>280</v>
      </c>
      <c r="D144">
        <f>F144*15</f>
        <v>54</v>
      </c>
      <c r="E144">
        <v>1</v>
      </c>
      <c r="F144">
        <f t="shared" si="18"/>
        <v>3.6</v>
      </c>
      <c r="I144" t="s">
        <v>193</v>
      </c>
      <c r="J144">
        <f>R$21*D144</f>
        <v>0.10692</v>
      </c>
    </row>
    <row r="145" spans="1:10">
      <c r="J145">
        <f>SUM(J4:J144)</f>
        <v>50.392889000000018</v>
      </c>
    </row>
    <row r="147" spans="1:10">
      <c r="E147" s="4" t="s">
        <v>281</v>
      </c>
      <c r="F147">
        <f>SUM(F4:F144)</f>
        <v>685.08000000000038</v>
      </c>
    </row>
    <row r="148" spans="1:10">
      <c r="E148" s="4" t="s">
        <v>282</v>
      </c>
      <c r="F148">
        <f>F147*10</f>
        <v>6850.8000000000038</v>
      </c>
    </row>
    <row r="152" spans="1:10" s="26" customFormat="1">
      <c r="A152" s="27" t="s">
        <v>283</v>
      </c>
    </row>
    <row r="153" spans="1:10">
      <c r="A153" t="s">
        <v>284</v>
      </c>
    </row>
    <row r="154" spans="1:10">
      <c r="A154" t="s">
        <v>285</v>
      </c>
    </row>
    <row r="157" spans="1:10">
      <c r="E157" t="s">
        <v>286</v>
      </c>
    </row>
    <row r="158" spans="1:10">
      <c r="E158">
        <f>0+0+0.1+0+0+0.2+3+0.8+0.3+0.7+4+3.5+3.1+0.8+2+1.9+1.6+1.1+1+0.9</f>
        <v>25</v>
      </c>
      <c r="F158" s="28" t="s">
        <v>287</v>
      </c>
    </row>
    <row r="159" spans="1:10">
      <c r="E159">
        <f>E158/100</f>
        <v>0.25</v>
      </c>
    </row>
    <row r="164" spans="5:5">
      <c r="E164" t="s">
        <v>152</v>
      </c>
    </row>
    <row r="165" spans="5:5">
      <c r="E165" t="s">
        <v>288</v>
      </c>
    </row>
    <row r="177" spans="1:4">
      <c r="A177" t="s">
        <v>289</v>
      </c>
    </row>
    <row r="178" spans="1:4">
      <c r="A178" s="29" t="s">
        <v>290</v>
      </c>
    </row>
    <row r="180" spans="1:4">
      <c r="A180" t="s">
        <v>291</v>
      </c>
      <c r="B180">
        <f>'Nitrogen import'!B26</f>
        <v>436.04651162790702</v>
      </c>
      <c r="C180" t="s">
        <v>292</v>
      </c>
      <c r="D180" t="s">
        <v>292</v>
      </c>
    </row>
    <row r="181" spans="1:4">
      <c r="A181" t="s">
        <v>293</v>
      </c>
      <c r="B181" s="22">
        <f>E159</f>
        <v>0.25</v>
      </c>
      <c r="D181" s="28" t="s">
        <v>294</v>
      </c>
    </row>
    <row r="182" spans="1:4">
      <c r="A182" t="s">
        <v>295</v>
      </c>
      <c r="B182">
        <f>B180*B181</f>
        <v>109.01162790697676</v>
      </c>
      <c r="D182" t="s">
        <v>292</v>
      </c>
    </row>
    <row r="183" spans="1:4">
      <c r="A183" t="s">
        <v>296</v>
      </c>
      <c r="B183">
        <f>B182*0.5</f>
        <v>54.505813953488378</v>
      </c>
      <c r="D183" t="s">
        <v>297</v>
      </c>
    </row>
    <row r="185" spans="1:4" s="26" customFormat="1">
      <c r="A185" s="27" t="s">
        <v>298</v>
      </c>
    </row>
    <row r="186" spans="1:4">
      <c r="A186" s="32" t="s">
        <v>299</v>
      </c>
    </row>
    <row r="187" spans="1:4">
      <c r="A187" s="33" t="s">
        <v>300</v>
      </c>
    </row>
    <row r="188" spans="1:4">
      <c r="A188" s="32" t="s">
        <v>301</v>
      </c>
    </row>
    <row r="189" spans="1:4">
      <c r="A189" s="33" t="s">
        <v>302</v>
      </c>
    </row>
    <row r="190" spans="1:4">
      <c r="A190">
        <f>25*0.8*365</f>
        <v>7300</v>
      </c>
      <c r="B190" t="s">
        <v>303</v>
      </c>
    </row>
    <row r="191" spans="1:4">
      <c r="A191">
        <f>A190/1000</f>
        <v>7.3</v>
      </c>
      <c r="B191" t="s">
        <v>304</v>
      </c>
    </row>
  </sheetData>
  <hyperlinks>
    <hyperlink ref="R11" r:id="rId1" xr:uid="{E5EB5699-FA03-481E-A65B-673C7ACAE04C}"/>
    <hyperlink ref="R12" r:id="rId2" xr:uid="{66B53D9A-B956-4F95-AB1D-5AE06991CBB3}"/>
    <hyperlink ref="R13" r:id="rId3" xr:uid="{E2053159-3209-492B-BB86-95C0F735BD5C}"/>
    <hyperlink ref="R15" r:id="rId4" xr:uid="{EEA5FCE2-2798-4A2C-832C-DA60EFC80028}"/>
    <hyperlink ref="R17" r:id="rId5" xr:uid="{B75FCBE9-590A-4A74-8D87-EE04932F90CC}"/>
    <hyperlink ref="R18" r:id="rId6" xr:uid="{7DE43868-291B-4626-B905-2AFEE7CC2B48}"/>
    <hyperlink ref="Q33" r:id="rId7" xr:uid="{A3F06019-55B0-4789-A752-2EB1DD68A10F}"/>
  </hyperlinks>
  <pageMargins left="0.7" right="0.7" top="0.75" bottom="0.75" header="0.3" footer="0.3"/>
  <pageSetup paperSize="9" orientation="portrait" horizontalDpi="300" verticalDpi="300"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67467-BC33-46CB-9386-76C94511CD43}">
  <dimension ref="A1:AB138"/>
  <sheetViews>
    <sheetView topLeftCell="A10" workbookViewId="0">
      <selection activeCell="A138" sqref="A138"/>
    </sheetView>
  </sheetViews>
  <sheetFormatPr defaultRowHeight="15"/>
  <cols>
    <col min="1" max="1" width="34.42578125" customWidth="1"/>
    <col min="2" max="2" width="14.85546875" customWidth="1"/>
    <col min="3" max="3" width="18.7109375" customWidth="1"/>
    <col min="4" max="4" width="31.85546875" customWidth="1"/>
    <col min="5" max="5" width="27" customWidth="1"/>
    <col min="6" max="6" width="24.140625" customWidth="1"/>
    <col min="7" max="7" width="20.28515625" customWidth="1"/>
    <col min="27" max="27" width="14.28515625" customWidth="1"/>
  </cols>
  <sheetData>
    <row r="1" spans="1:6" s="26" customFormat="1">
      <c r="A1" s="27" t="s">
        <v>305</v>
      </c>
    </row>
    <row r="2" spans="1:6">
      <c r="A2" t="s">
        <v>306</v>
      </c>
    </row>
    <row r="3" spans="1:6">
      <c r="A3">
        <v>57.03</v>
      </c>
      <c r="B3" t="s">
        <v>307</v>
      </c>
    </row>
    <row r="4" spans="1:6">
      <c r="A4">
        <v>0.8</v>
      </c>
      <c r="B4" t="s">
        <v>308</v>
      </c>
    </row>
    <row r="5" spans="1:6">
      <c r="A5">
        <f>A3*A4</f>
        <v>45.624000000000002</v>
      </c>
      <c r="B5" t="s">
        <v>309</v>
      </c>
    </row>
    <row r="10" spans="1:6" s="26" customFormat="1">
      <c r="A10" s="27" t="s">
        <v>310</v>
      </c>
    </row>
    <row r="11" spans="1:6">
      <c r="A11" t="s">
        <v>311</v>
      </c>
      <c r="B11">
        <v>150</v>
      </c>
    </row>
    <row r="12" spans="1:6">
      <c r="A12" t="s">
        <v>312</v>
      </c>
      <c r="B12">
        <f>B11/2</f>
        <v>75</v>
      </c>
    </row>
    <row r="13" spans="1:6">
      <c r="A13" t="s">
        <v>313</v>
      </c>
      <c r="B13">
        <v>985.78</v>
      </c>
      <c r="E13" s="34"/>
      <c r="F13" s="32" t="s">
        <v>314</v>
      </c>
    </row>
    <row r="14" spans="1:6">
      <c r="A14" t="s">
        <v>315</v>
      </c>
      <c r="B14">
        <v>389.13</v>
      </c>
      <c r="F14" s="32" t="s">
        <v>316</v>
      </c>
    </row>
    <row r="15" spans="1:6">
      <c r="A15" t="s">
        <v>317</v>
      </c>
      <c r="B15">
        <f>AVERAGE(B13:B14)</f>
        <v>687.45499999999993</v>
      </c>
      <c r="F15" s="32" t="s">
        <v>318</v>
      </c>
    </row>
    <row r="16" spans="1:6">
      <c r="A16" t="s">
        <v>319</v>
      </c>
      <c r="B16">
        <f>ROUNDUP(B15,0)</f>
        <v>688</v>
      </c>
      <c r="F16" s="32" t="s">
        <v>320</v>
      </c>
    </row>
    <row r="17" spans="1:6">
      <c r="A17" t="s">
        <v>321</v>
      </c>
      <c r="B17">
        <f>B16/10^6</f>
        <v>6.8800000000000003E-4</v>
      </c>
      <c r="C17">
        <f>1000/10^6</f>
        <v>1E-3</v>
      </c>
      <c r="E17" s="32"/>
      <c r="F17" s="32" t="s">
        <v>322</v>
      </c>
    </row>
    <row r="18" spans="1:6">
      <c r="A18" t="s">
        <v>323</v>
      </c>
      <c r="B18">
        <f>B17*10</f>
        <v>6.8800000000000007E-3</v>
      </c>
      <c r="E18" s="32"/>
      <c r="F18" s="32"/>
    </row>
    <row r="19" spans="1:6">
      <c r="A19" t="s">
        <v>324</v>
      </c>
      <c r="B19">
        <f>100*(1/B17)</f>
        <v>145348.83720930232</v>
      </c>
      <c r="F19" s="10" t="s">
        <v>325</v>
      </c>
    </row>
    <row r="20" spans="1:6">
      <c r="A20" t="s">
        <v>326</v>
      </c>
      <c r="B20">
        <f>B19/1000</f>
        <v>145.34883720930233</v>
      </c>
    </row>
    <row r="21" spans="1:6">
      <c r="A21" t="s">
        <v>327</v>
      </c>
      <c r="B21">
        <f>B20*75</f>
        <v>10901.162790697676</v>
      </c>
    </row>
    <row r="22" spans="1:6">
      <c r="A22" t="s">
        <v>328</v>
      </c>
      <c r="B22">
        <f>B21/1000</f>
        <v>10.901162790697676</v>
      </c>
    </row>
    <row r="23" spans="1:6">
      <c r="A23" s="21" t="s">
        <v>329</v>
      </c>
      <c r="B23">
        <v>2</v>
      </c>
    </row>
    <row r="24" spans="1:6">
      <c r="A24" s="21" t="s">
        <v>330</v>
      </c>
      <c r="B24">
        <f>B23/100</f>
        <v>0.02</v>
      </c>
    </row>
    <row r="25" spans="1:6">
      <c r="A25" t="s">
        <v>331</v>
      </c>
      <c r="B25">
        <f>B21*B24</f>
        <v>218.02325581395351</v>
      </c>
    </row>
    <row r="26" spans="1:6">
      <c r="A26" t="s">
        <v>332</v>
      </c>
      <c r="B26">
        <f>B21*2*B24</f>
        <v>436.04651162790702</v>
      </c>
    </row>
    <row r="28" spans="1:6">
      <c r="A28" t="s">
        <v>333</v>
      </c>
    </row>
    <row r="29" spans="1:6">
      <c r="A29" t="s">
        <v>334</v>
      </c>
    </row>
    <row r="32" spans="1:6" s="26" customFormat="1">
      <c r="A32" s="27" t="s">
        <v>335</v>
      </c>
    </row>
    <row r="33" spans="1:28">
      <c r="A33" t="s">
        <v>312</v>
      </c>
      <c r="B33">
        <v>16</v>
      </c>
    </row>
    <row r="34" spans="1:28">
      <c r="A34" t="s">
        <v>336</v>
      </c>
      <c r="B34">
        <v>434</v>
      </c>
      <c r="C34" s="10" t="s">
        <v>337</v>
      </c>
    </row>
    <row r="35" spans="1:28">
      <c r="A35" t="s">
        <v>338</v>
      </c>
      <c r="B35">
        <f>B33*B34</f>
        <v>6944</v>
      </c>
    </row>
    <row r="36" spans="1:28">
      <c r="A36" t="s">
        <v>339</v>
      </c>
      <c r="B36" s="23">
        <v>0.5</v>
      </c>
      <c r="C36" s="10" t="s">
        <v>340</v>
      </c>
    </row>
    <row r="37" spans="1:28">
      <c r="A37" t="s">
        <v>341</v>
      </c>
      <c r="B37">
        <f>S58</f>
        <v>2.9611018518518519</v>
      </c>
    </row>
    <row r="38" spans="1:28">
      <c r="B38" s="22">
        <f>B37/100</f>
        <v>2.9611018518518519E-2</v>
      </c>
    </row>
    <row r="39" spans="1:28">
      <c r="A39" t="s">
        <v>342</v>
      </c>
      <c r="B39">
        <f>B35*B36</f>
        <v>3472</v>
      </c>
    </row>
    <row r="40" spans="1:28">
      <c r="A40" t="s">
        <v>343</v>
      </c>
      <c r="B40">
        <f>B39*B38</f>
        <v>102.8094562962963</v>
      </c>
    </row>
    <row r="42" spans="1:28">
      <c r="A42" t="s">
        <v>344</v>
      </c>
    </row>
    <row r="43" spans="1:28">
      <c r="A43" t="s">
        <v>345</v>
      </c>
    </row>
    <row r="46" spans="1:28">
      <c r="L46" t="s">
        <v>346</v>
      </c>
    </row>
    <row r="47" spans="1:28">
      <c r="L47" t="s">
        <v>347</v>
      </c>
    </row>
    <row r="48" spans="1:28">
      <c r="L48" t="s">
        <v>348</v>
      </c>
      <c r="AB48" t="s">
        <v>349</v>
      </c>
    </row>
    <row r="49" spans="11:28">
      <c r="L49" t="s">
        <v>350</v>
      </c>
      <c r="AA49" t="s">
        <v>351</v>
      </c>
      <c r="AB49">
        <v>3.5</v>
      </c>
    </row>
    <row r="50" spans="11:28">
      <c r="AB50">
        <v>0.9</v>
      </c>
    </row>
    <row r="51" spans="11:28">
      <c r="M51" t="s">
        <v>352</v>
      </c>
      <c r="N51" t="s">
        <v>353</v>
      </c>
      <c r="O51" t="s">
        <v>354</v>
      </c>
      <c r="S51" t="s">
        <v>152</v>
      </c>
      <c r="AA51" t="s">
        <v>355</v>
      </c>
      <c r="AB51">
        <v>2.86</v>
      </c>
    </row>
    <row r="52" spans="11:28">
      <c r="K52" t="s">
        <v>356</v>
      </c>
      <c r="L52" t="s">
        <v>357</v>
      </c>
      <c r="M52">
        <v>206</v>
      </c>
      <c r="N52">
        <f t="shared" ref="N52:N69" si="0">M52/6.25</f>
        <v>32.96</v>
      </c>
      <c r="O52">
        <f t="shared" ref="O52:O69" si="1">N52/10</f>
        <v>3.2960000000000003</v>
      </c>
      <c r="S52" t="s">
        <v>358</v>
      </c>
      <c r="AB52">
        <v>1.3</v>
      </c>
    </row>
    <row r="53" spans="11:28">
      <c r="M53">
        <v>241</v>
      </c>
      <c r="N53">
        <f t="shared" si="0"/>
        <v>38.56</v>
      </c>
      <c r="O53">
        <f t="shared" si="1"/>
        <v>3.8560000000000003</v>
      </c>
      <c r="AA53" t="s">
        <v>359</v>
      </c>
      <c r="AB53">
        <v>3.71</v>
      </c>
    </row>
    <row r="54" spans="11:28">
      <c r="M54">
        <v>233</v>
      </c>
      <c r="N54">
        <f t="shared" si="0"/>
        <v>37.28</v>
      </c>
      <c r="O54">
        <f t="shared" si="1"/>
        <v>3.7280000000000002</v>
      </c>
      <c r="AB54">
        <v>1.5</v>
      </c>
    </row>
    <row r="55" spans="11:28">
      <c r="M55">
        <v>201</v>
      </c>
      <c r="N55">
        <f t="shared" si="0"/>
        <v>32.159999999999997</v>
      </c>
      <c r="O55">
        <f t="shared" si="1"/>
        <v>3.2159999999999997</v>
      </c>
      <c r="AA55" t="s">
        <v>360</v>
      </c>
      <c r="AB55">
        <v>4.5999999999999996</v>
      </c>
    </row>
    <row r="56" spans="11:28">
      <c r="M56">
        <v>265</v>
      </c>
      <c r="N56">
        <f t="shared" si="0"/>
        <v>42.4</v>
      </c>
      <c r="O56">
        <f t="shared" si="1"/>
        <v>4.24</v>
      </c>
      <c r="AB56">
        <v>2.94</v>
      </c>
    </row>
    <row r="57" spans="11:28">
      <c r="M57">
        <v>275</v>
      </c>
      <c r="N57">
        <f t="shared" si="0"/>
        <v>44</v>
      </c>
      <c r="O57">
        <f t="shared" si="1"/>
        <v>4.4000000000000004</v>
      </c>
      <c r="S57" t="s">
        <v>361</v>
      </c>
      <c r="AA57" t="s">
        <v>362</v>
      </c>
      <c r="AB57" s="2">
        <f>AVERAGE(AB49:AB56)</f>
        <v>2.6637499999999998</v>
      </c>
    </row>
    <row r="58" spans="11:28">
      <c r="L58" t="s">
        <v>363</v>
      </c>
      <c r="M58">
        <v>171</v>
      </c>
      <c r="N58">
        <f t="shared" si="0"/>
        <v>27.36</v>
      </c>
      <c r="O58">
        <f t="shared" si="1"/>
        <v>2.7359999999999998</v>
      </c>
      <c r="S58">
        <f>AVERAGE(AB57,O70,O89)</f>
        <v>2.9611018518518519</v>
      </c>
    </row>
    <row r="59" spans="11:28">
      <c r="M59">
        <v>177</v>
      </c>
      <c r="N59">
        <f t="shared" si="0"/>
        <v>28.32</v>
      </c>
      <c r="O59">
        <f t="shared" si="1"/>
        <v>2.8319999999999999</v>
      </c>
      <c r="AA59" t="s">
        <v>152</v>
      </c>
    </row>
    <row r="60" spans="11:28">
      <c r="M60">
        <v>190</v>
      </c>
      <c r="N60">
        <f t="shared" si="0"/>
        <v>30.4</v>
      </c>
      <c r="O60">
        <f t="shared" si="1"/>
        <v>3.04</v>
      </c>
      <c r="AA60" t="s">
        <v>364</v>
      </c>
    </row>
    <row r="61" spans="11:28">
      <c r="M61">
        <v>150</v>
      </c>
      <c r="N61">
        <f t="shared" si="0"/>
        <v>24</v>
      </c>
      <c r="O61">
        <f t="shared" si="1"/>
        <v>2.4</v>
      </c>
    </row>
    <row r="62" spans="11:28">
      <c r="M62">
        <v>185</v>
      </c>
      <c r="N62">
        <f t="shared" si="0"/>
        <v>29.6</v>
      </c>
      <c r="O62">
        <f t="shared" si="1"/>
        <v>2.96</v>
      </c>
    </row>
    <row r="63" spans="11:28">
      <c r="M63">
        <v>196</v>
      </c>
      <c r="N63">
        <f t="shared" si="0"/>
        <v>31.36</v>
      </c>
      <c r="O63">
        <f t="shared" si="1"/>
        <v>3.1360000000000001</v>
      </c>
    </row>
    <row r="64" spans="11:28">
      <c r="L64" t="s">
        <v>365</v>
      </c>
      <c r="M64">
        <v>120</v>
      </c>
      <c r="N64">
        <f t="shared" si="0"/>
        <v>19.2</v>
      </c>
      <c r="O64">
        <f t="shared" si="1"/>
        <v>1.92</v>
      </c>
    </row>
    <row r="65" spans="11:15">
      <c r="M65">
        <v>158</v>
      </c>
      <c r="N65">
        <f t="shared" si="0"/>
        <v>25.28</v>
      </c>
      <c r="O65">
        <f t="shared" si="1"/>
        <v>2.528</v>
      </c>
    </row>
    <row r="66" spans="11:15">
      <c r="M66">
        <v>175</v>
      </c>
      <c r="N66">
        <f t="shared" si="0"/>
        <v>28</v>
      </c>
      <c r="O66">
        <f t="shared" si="1"/>
        <v>2.8</v>
      </c>
    </row>
    <row r="67" spans="11:15">
      <c r="M67">
        <v>116</v>
      </c>
      <c r="N67">
        <f t="shared" si="0"/>
        <v>18.559999999999999</v>
      </c>
      <c r="O67">
        <f t="shared" si="1"/>
        <v>1.8559999999999999</v>
      </c>
    </row>
    <row r="68" spans="11:15">
      <c r="M68">
        <v>152</v>
      </c>
      <c r="N68">
        <f t="shared" si="0"/>
        <v>24.32</v>
      </c>
      <c r="O68">
        <f t="shared" si="1"/>
        <v>2.4319999999999999</v>
      </c>
    </row>
    <row r="69" spans="11:15">
      <c r="M69">
        <v>162</v>
      </c>
      <c r="N69">
        <f t="shared" si="0"/>
        <v>25.92</v>
      </c>
      <c r="O69">
        <f t="shared" si="1"/>
        <v>2.5920000000000001</v>
      </c>
    </row>
    <row r="70" spans="11:15">
      <c r="L70" t="s">
        <v>366</v>
      </c>
      <c r="M70">
        <f>AVERAGE(M52:M69)</f>
        <v>187.38888888888889</v>
      </c>
      <c r="N70">
        <f>AVERAGE(N52:N69)</f>
        <v>29.982222222222219</v>
      </c>
      <c r="O70">
        <f>AVERAGE(O52:O69)</f>
        <v>2.9982222222222226</v>
      </c>
    </row>
    <row r="71" spans="11:15">
      <c r="K71" t="s">
        <v>367</v>
      </c>
      <c r="L71" t="s">
        <v>357</v>
      </c>
      <c r="M71">
        <v>237</v>
      </c>
      <c r="N71">
        <f t="shared" ref="N71:N88" si="2">M71/6.25</f>
        <v>37.92</v>
      </c>
      <c r="O71">
        <f t="shared" ref="O71:O88" si="3">N71/10</f>
        <v>3.7920000000000003</v>
      </c>
    </row>
    <row r="72" spans="11:15">
      <c r="M72">
        <v>277</v>
      </c>
      <c r="N72">
        <f t="shared" si="2"/>
        <v>44.32</v>
      </c>
      <c r="O72">
        <f t="shared" si="3"/>
        <v>4.4320000000000004</v>
      </c>
    </row>
    <row r="73" spans="11:15">
      <c r="M73">
        <v>277</v>
      </c>
      <c r="N73">
        <f t="shared" si="2"/>
        <v>44.32</v>
      </c>
      <c r="O73">
        <f t="shared" si="3"/>
        <v>4.4320000000000004</v>
      </c>
    </row>
    <row r="74" spans="11:15">
      <c r="M74">
        <v>262</v>
      </c>
      <c r="N74">
        <f t="shared" si="2"/>
        <v>41.92</v>
      </c>
      <c r="O74">
        <f t="shared" si="3"/>
        <v>4.1920000000000002</v>
      </c>
    </row>
    <row r="75" spans="11:15">
      <c r="M75">
        <v>248</v>
      </c>
      <c r="N75">
        <f t="shared" si="2"/>
        <v>39.68</v>
      </c>
      <c r="O75">
        <f t="shared" si="3"/>
        <v>3.968</v>
      </c>
    </row>
    <row r="76" spans="11:15">
      <c r="M76">
        <v>271</v>
      </c>
      <c r="N76">
        <f t="shared" si="2"/>
        <v>43.36</v>
      </c>
      <c r="O76">
        <f t="shared" si="3"/>
        <v>4.3360000000000003</v>
      </c>
    </row>
    <row r="77" spans="11:15">
      <c r="L77" t="s">
        <v>363</v>
      </c>
      <c r="M77">
        <v>158</v>
      </c>
      <c r="N77">
        <f t="shared" si="2"/>
        <v>25.28</v>
      </c>
      <c r="O77">
        <f t="shared" si="3"/>
        <v>2.528</v>
      </c>
    </row>
    <row r="78" spans="11:15">
      <c r="M78">
        <v>210</v>
      </c>
      <c r="N78">
        <f t="shared" si="2"/>
        <v>33.6</v>
      </c>
      <c r="O78">
        <f t="shared" si="3"/>
        <v>3.3600000000000003</v>
      </c>
    </row>
    <row r="79" spans="11:15">
      <c r="M79">
        <v>212</v>
      </c>
      <c r="N79">
        <f t="shared" si="2"/>
        <v>33.92</v>
      </c>
      <c r="O79">
        <f t="shared" si="3"/>
        <v>3.3920000000000003</v>
      </c>
    </row>
    <row r="80" spans="11:15">
      <c r="M80">
        <v>148</v>
      </c>
      <c r="N80">
        <f t="shared" si="2"/>
        <v>23.68</v>
      </c>
      <c r="O80">
        <f t="shared" si="3"/>
        <v>2.3679999999999999</v>
      </c>
    </row>
    <row r="81" spans="1:15">
      <c r="M81">
        <v>170</v>
      </c>
      <c r="N81">
        <f t="shared" si="2"/>
        <v>27.2</v>
      </c>
      <c r="O81">
        <f t="shared" si="3"/>
        <v>2.7199999999999998</v>
      </c>
    </row>
    <row r="82" spans="1:15">
      <c r="M82">
        <v>199</v>
      </c>
      <c r="N82">
        <f t="shared" si="2"/>
        <v>31.84</v>
      </c>
      <c r="O82">
        <f t="shared" si="3"/>
        <v>3.1840000000000002</v>
      </c>
    </row>
    <row r="83" spans="1:15">
      <c r="L83" t="s">
        <v>365</v>
      </c>
      <c r="M83">
        <v>142</v>
      </c>
      <c r="N83">
        <f t="shared" si="2"/>
        <v>22.72</v>
      </c>
      <c r="O83">
        <f t="shared" si="3"/>
        <v>2.2719999999999998</v>
      </c>
    </row>
    <row r="84" spans="1:15">
      <c r="M84">
        <v>177</v>
      </c>
      <c r="N84">
        <f t="shared" si="2"/>
        <v>28.32</v>
      </c>
      <c r="O84">
        <f t="shared" si="3"/>
        <v>2.8319999999999999</v>
      </c>
    </row>
    <row r="85" spans="1:15">
      <c r="M85">
        <v>194</v>
      </c>
      <c r="N85">
        <f t="shared" si="2"/>
        <v>31.04</v>
      </c>
      <c r="O85">
        <f t="shared" si="3"/>
        <v>3.1040000000000001</v>
      </c>
    </row>
    <row r="86" spans="1:15">
      <c r="M86">
        <v>121</v>
      </c>
      <c r="N86">
        <f t="shared" si="2"/>
        <v>19.36</v>
      </c>
      <c r="O86">
        <f t="shared" si="3"/>
        <v>1.9359999999999999</v>
      </c>
    </row>
    <row r="87" spans="1:15">
      <c r="M87">
        <v>160</v>
      </c>
      <c r="N87">
        <f t="shared" si="2"/>
        <v>25.6</v>
      </c>
      <c r="O87">
        <f t="shared" si="3"/>
        <v>2.56</v>
      </c>
    </row>
    <row r="88" spans="1:15">
      <c r="M88">
        <v>161</v>
      </c>
      <c r="N88">
        <f t="shared" si="2"/>
        <v>25.76</v>
      </c>
      <c r="O88">
        <f t="shared" si="3"/>
        <v>2.5760000000000001</v>
      </c>
    </row>
    <row r="89" spans="1:15">
      <c r="L89" t="s">
        <v>366</v>
      </c>
      <c r="M89">
        <f>AVERAGE(M71:M88)</f>
        <v>201.33333333333334</v>
      </c>
      <c r="N89">
        <f>AVERAGE(N71:N88)</f>
        <v>32.213333333333338</v>
      </c>
      <c r="O89">
        <f>AVERAGE(O71:O88)</f>
        <v>3.2213333333333334</v>
      </c>
    </row>
    <row r="92" spans="1:15" s="26" customFormat="1">
      <c r="A92" s="27" t="s">
        <v>368</v>
      </c>
    </row>
    <row r="93" spans="1:15" ht="45" customHeight="1">
      <c r="A93" s="20" t="s">
        <v>369</v>
      </c>
      <c r="B93" s="76" t="s">
        <v>370</v>
      </c>
      <c r="C93" s="76"/>
      <c r="D93" s="76" t="s">
        <v>371</v>
      </c>
      <c r="E93" s="76"/>
      <c r="F93" s="76" t="s">
        <v>372</v>
      </c>
      <c r="G93" s="76"/>
    </row>
    <row r="94" spans="1:15">
      <c r="A94" s="20"/>
      <c r="B94" s="25" t="s">
        <v>373</v>
      </c>
      <c r="C94" s="25" t="s">
        <v>374</v>
      </c>
      <c r="D94" s="79">
        <v>0.15</v>
      </c>
      <c r="E94" s="79"/>
      <c r="F94" s="20" t="s">
        <v>375</v>
      </c>
      <c r="G94" s="20">
        <f>1/10000</f>
        <v>1E-4</v>
      </c>
    </row>
    <row r="95" spans="1:15">
      <c r="A95" t="s">
        <v>376</v>
      </c>
      <c r="B95">
        <v>3</v>
      </c>
      <c r="C95">
        <v>141</v>
      </c>
      <c r="D95">
        <f>B95*$D$94</f>
        <v>0.44999999999999996</v>
      </c>
      <c r="E95">
        <f>C95*$D$94</f>
        <v>21.15</v>
      </c>
      <c r="F95">
        <f>D95*$G$94</f>
        <v>4.4999999999999996E-5</v>
      </c>
      <c r="G95">
        <f>E95*$G$94</f>
        <v>2.1150000000000001E-3</v>
      </c>
    </row>
    <row r="96" spans="1:15">
      <c r="A96" t="s">
        <v>377</v>
      </c>
      <c r="B96">
        <v>10</v>
      </c>
      <c r="C96">
        <v>192</v>
      </c>
      <c r="D96">
        <f t="shared" ref="D96:D111" si="4">B96*$D$94</f>
        <v>1.5</v>
      </c>
      <c r="E96">
        <f t="shared" ref="E96:E110" si="5">C96*$D$94</f>
        <v>28.799999999999997</v>
      </c>
      <c r="F96">
        <f t="shared" ref="F96:F111" si="6">D96*$G$94</f>
        <v>1.5000000000000001E-4</v>
      </c>
      <c r="G96">
        <f t="shared" ref="G96:G111" si="7">E96*$G$94</f>
        <v>2.8799999999999997E-3</v>
      </c>
    </row>
    <row r="97" spans="1:8">
      <c r="A97" t="s">
        <v>378</v>
      </c>
      <c r="B97">
        <v>17</v>
      </c>
      <c r="C97">
        <v>244</v>
      </c>
      <c r="D97">
        <f t="shared" si="4"/>
        <v>2.5499999999999998</v>
      </c>
      <c r="E97">
        <f t="shared" si="5"/>
        <v>36.6</v>
      </c>
      <c r="F97">
        <f t="shared" si="6"/>
        <v>2.5500000000000002E-4</v>
      </c>
      <c r="G97">
        <f t="shared" si="7"/>
        <v>3.6600000000000005E-3</v>
      </c>
    </row>
    <row r="98" spans="1:8">
      <c r="A98" t="s">
        <v>379</v>
      </c>
      <c r="B98">
        <v>53</v>
      </c>
      <c r="C98">
        <v>330</v>
      </c>
      <c r="D98">
        <f t="shared" si="4"/>
        <v>7.9499999999999993</v>
      </c>
      <c r="E98">
        <f t="shared" si="5"/>
        <v>49.5</v>
      </c>
      <c r="F98">
        <f t="shared" si="6"/>
        <v>7.9499999999999992E-4</v>
      </c>
      <c r="G98">
        <f t="shared" si="7"/>
        <v>4.9500000000000004E-3</v>
      </c>
    </row>
    <row r="99" spans="1:8">
      <c r="A99" t="s">
        <v>380</v>
      </c>
      <c r="B99">
        <v>32</v>
      </c>
      <c r="C99">
        <v>288</v>
      </c>
      <c r="D99">
        <f>B99*$D$94</f>
        <v>4.8</v>
      </c>
      <c r="E99">
        <f>C99*$D$94</f>
        <v>43.199999999999996</v>
      </c>
      <c r="F99">
        <f t="shared" si="6"/>
        <v>4.8000000000000001E-4</v>
      </c>
      <c r="G99">
        <f t="shared" si="7"/>
        <v>4.3200000000000001E-3</v>
      </c>
    </row>
    <row r="100" spans="1:8">
      <c r="A100" t="s">
        <v>381</v>
      </c>
      <c r="B100">
        <v>0</v>
      </c>
      <c r="C100">
        <v>450</v>
      </c>
      <c r="D100">
        <f t="shared" si="4"/>
        <v>0</v>
      </c>
      <c r="E100">
        <f t="shared" si="5"/>
        <v>67.5</v>
      </c>
      <c r="F100">
        <f t="shared" si="6"/>
        <v>0</v>
      </c>
      <c r="G100">
        <f t="shared" si="7"/>
        <v>6.7499999999999999E-3</v>
      </c>
    </row>
    <row r="101" spans="1:8">
      <c r="A101" t="s">
        <v>382</v>
      </c>
      <c r="B101">
        <v>0</v>
      </c>
      <c r="C101">
        <v>125</v>
      </c>
      <c r="D101">
        <f t="shared" si="4"/>
        <v>0</v>
      </c>
      <c r="E101">
        <f t="shared" si="5"/>
        <v>18.75</v>
      </c>
      <c r="F101">
        <f t="shared" si="6"/>
        <v>0</v>
      </c>
      <c r="G101">
        <f t="shared" si="7"/>
        <v>1.8750000000000001E-3</v>
      </c>
    </row>
    <row r="102" spans="1:8">
      <c r="A102" t="s">
        <v>383</v>
      </c>
      <c r="B102">
        <v>7</v>
      </c>
      <c r="C102">
        <v>235</v>
      </c>
      <c r="D102">
        <f t="shared" si="4"/>
        <v>1.05</v>
      </c>
      <c r="E102">
        <f t="shared" si="5"/>
        <v>35.25</v>
      </c>
      <c r="F102">
        <f t="shared" si="6"/>
        <v>1.05E-4</v>
      </c>
      <c r="G102">
        <f t="shared" si="7"/>
        <v>3.5250000000000004E-3</v>
      </c>
    </row>
    <row r="103" spans="1:8">
      <c r="A103" t="s">
        <v>384</v>
      </c>
      <c r="B103">
        <v>9</v>
      </c>
      <c r="C103">
        <v>201</v>
      </c>
      <c r="D103">
        <f t="shared" si="4"/>
        <v>1.3499999999999999</v>
      </c>
      <c r="E103">
        <f t="shared" si="5"/>
        <v>30.15</v>
      </c>
      <c r="F103">
        <f t="shared" si="6"/>
        <v>1.35E-4</v>
      </c>
      <c r="G103">
        <f t="shared" si="7"/>
        <v>3.0149999999999999E-3</v>
      </c>
    </row>
    <row r="104" spans="1:8">
      <c r="A104" t="s">
        <v>385</v>
      </c>
      <c r="B104">
        <v>90</v>
      </c>
      <c r="C104">
        <v>386</v>
      </c>
      <c r="D104">
        <f t="shared" si="4"/>
        <v>13.5</v>
      </c>
      <c r="E104">
        <f t="shared" si="5"/>
        <v>57.9</v>
      </c>
      <c r="F104">
        <f t="shared" si="6"/>
        <v>1.3500000000000001E-3</v>
      </c>
      <c r="G104">
        <f t="shared" si="7"/>
        <v>5.79E-3</v>
      </c>
    </row>
    <row r="105" spans="1:8">
      <c r="A105" t="s">
        <v>386</v>
      </c>
      <c r="B105">
        <v>90</v>
      </c>
      <c r="D105">
        <f t="shared" si="4"/>
        <v>13.5</v>
      </c>
      <c r="F105">
        <f t="shared" si="6"/>
        <v>1.3500000000000001E-3</v>
      </c>
      <c r="G105">
        <f t="shared" si="7"/>
        <v>0</v>
      </c>
    </row>
    <row r="106" spans="1:8">
      <c r="A106" t="s">
        <v>387</v>
      </c>
      <c r="B106">
        <v>49</v>
      </c>
      <c r="C106">
        <v>109</v>
      </c>
      <c r="D106">
        <f t="shared" si="4"/>
        <v>7.35</v>
      </c>
      <c r="E106">
        <f t="shared" si="5"/>
        <v>16.349999999999998</v>
      </c>
      <c r="F106">
        <f t="shared" si="6"/>
        <v>7.3499999999999998E-4</v>
      </c>
      <c r="G106">
        <f t="shared" si="7"/>
        <v>1.635E-3</v>
      </c>
    </row>
    <row r="107" spans="1:8">
      <c r="A107" t="s">
        <v>388</v>
      </c>
      <c r="B107">
        <v>54</v>
      </c>
      <c r="C107">
        <v>291</v>
      </c>
      <c r="D107">
        <f t="shared" si="4"/>
        <v>8.1</v>
      </c>
      <c r="E107">
        <f t="shared" si="5"/>
        <v>43.65</v>
      </c>
      <c r="F107">
        <f t="shared" si="6"/>
        <v>8.0999999999999996E-4</v>
      </c>
      <c r="G107">
        <f t="shared" si="7"/>
        <v>4.365E-3</v>
      </c>
    </row>
    <row r="108" spans="1:8">
      <c r="A108" t="s">
        <v>389</v>
      </c>
      <c r="B108">
        <v>69</v>
      </c>
      <c r="C108">
        <v>373</v>
      </c>
      <c r="D108">
        <f t="shared" si="4"/>
        <v>10.35</v>
      </c>
      <c r="E108">
        <f t="shared" si="5"/>
        <v>55.949999999999996</v>
      </c>
      <c r="F108">
        <f t="shared" si="6"/>
        <v>1.0350000000000001E-3</v>
      </c>
      <c r="G108">
        <f t="shared" si="7"/>
        <v>5.5950000000000001E-3</v>
      </c>
    </row>
    <row r="109" spans="1:8">
      <c r="A109" t="s">
        <v>390</v>
      </c>
      <c r="B109">
        <v>2</v>
      </c>
      <c r="C109">
        <v>206</v>
      </c>
      <c r="D109">
        <f t="shared" si="4"/>
        <v>0.3</v>
      </c>
      <c r="E109">
        <f t="shared" si="5"/>
        <v>30.9</v>
      </c>
      <c r="F109">
        <f t="shared" si="6"/>
        <v>3.0000000000000001E-5</v>
      </c>
      <c r="G109">
        <f t="shared" si="7"/>
        <v>3.0899999999999999E-3</v>
      </c>
    </row>
    <row r="110" spans="1:8">
      <c r="A110" t="s">
        <v>391</v>
      </c>
      <c r="B110">
        <v>124</v>
      </c>
      <c r="C110">
        <v>185</v>
      </c>
      <c r="D110">
        <f t="shared" si="4"/>
        <v>18.599999999999998</v>
      </c>
      <c r="E110">
        <f t="shared" si="5"/>
        <v>27.75</v>
      </c>
      <c r="F110">
        <f t="shared" si="6"/>
        <v>1.8599999999999999E-3</v>
      </c>
      <c r="G110">
        <f t="shared" si="7"/>
        <v>2.7750000000000001E-3</v>
      </c>
    </row>
    <row r="111" spans="1:8">
      <c r="A111" t="s">
        <v>392</v>
      </c>
      <c r="B111">
        <v>106</v>
      </c>
      <c r="D111">
        <f t="shared" si="4"/>
        <v>15.899999999999999</v>
      </c>
      <c r="F111">
        <f t="shared" si="6"/>
        <v>1.5899999999999998E-3</v>
      </c>
      <c r="G111">
        <f t="shared" si="7"/>
        <v>0</v>
      </c>
    </row>
    <row r="112" spans="1:8">
      <c r="A112" t="s">
        <v>393</v>
      </c>
      <c r="B112">
        <v>3</v>
      </c>
      <c r="C112">
        <v>6</v>
      </c>
      <c r="H112" t="s">
        <v>394</v>
      </c>
    </row>
    <row r="113" spans="1:5">
      <c r="A113" t="s">
        <v>395</v>
      </c>
      <c r="B113">
        <v>11</v>
      </c>
      <c r="C113">
        <v>101</v>
      </c>
    </row>
    <row r="114" spans="1:5">
      <c r="A114" t="s">
        <v>396</v>
      </c>
      <c r="B114">
        <v>9</v>
      </c>
      <c r="C114">
        <v>440</v>
      </c>
    </row>
    <row r="115" spans="1:5">
      <c r="A115" t="s">
        <v>397</v>
      </c>
      <c r="B115">
        <v>99</v>
      </c>
      <c r="C115">
        <v>185</v>
      </c>
    </row>
    <row r="116" spans="1:5">
      <c r="A116" t="s">
        <v>398</v>
      </c>
      <c r="B116">
        <v>98</v>
      </c>
      <c r="C116">
        <v>230</v>
      </c>
    </row>
    <row r="119" spans="1:5">
      <c r="A119" s="20" t="s">
        <v>399</v>
      </c>
      <c r="D119" t="s">
        <v>400</v>
      </c>
      <c r="E119">
        <v>36</v>
      </c>
    </row>
    <row r="120" spans="1:5" ht="15" customHeight="1">
      <c r="A120" s="20" t="s">
        <v>369</v>
      </c>
      <c r="B120" s="20" t="s">
        <v>401</v>
      </c>
      <c r="C120" s="20" t="s">
        <v>402</v>
      </c>
      <c r="D120" s="78" t="s">
        <v>403</v>
      </c>
      <c r="E120" s="78"/>
    </row>
    <row r="121" spans="1:5" ht="15" customHeight="1">
      <c r="A121" s="20"/>
      <c r="B121" s="20"/>
      <c r="C121" s="20"/>
      <c r="D121" s="20" t="s">
        <v>373</v>
      </c>
      <c r="E121" s="20" t="s">
        <v>374</v>
      </c>
    </row>
    <row r="122" spans="1:5">
      <c r="A122" t="s">
        <v>29</v>
      </c>
      <c r="B122">
        <v>3</v>
      </c>
      <c r="C122" s="11">
        <f>B122*$E$119</f>
        <v>108</v>
      </c>
      <c r="D122">
        <f>C122*$F$101</f>
        <v>0</v>
      </c>
      <c r="E122">
        <f>C122*$G$101</f>
        <v>0.20250000000000001</v>
      </c>
    </row>
    <row r="123" spans="1:5">
      <c r="A123" t="s">
        <v>30</v>
      </c>
      <c r="B123">
        <v>0</v>
      </c>
      <c r="C123" s="11">
        <f t="shared" ref="C123:C135" si="8">B123*$E$119</f>
        <v>0</v>
      </c>
      <c r="D123">
        <f>C123*$F$101</f>
        <v>0</v>
      </c>
      <c r="E123">
        <f t="shared" ref="E123" si="9">C123*$G$101</f>
        <v>0</v>
      </c>
    </row>
    <row r="124" spans="1:5">
      <c r="A124" t="s">
        <v>31</v>
      </c>
      <c r="B124">
        <v>1</v>
      </c>
      <c r="C124" s="11">
        <f t="shared" si="8"/>
        <v>36</v>
      </c>
      <c r="D124">
        <f t="shared" ref="D124:D126" si="10">C124*$F$101</f>
        <v>0</v>
      </c>
      <c r="E124">
        <f>C124*$G$101</f>
        <v>6.7500000000000004E-2</v>
      </c>
    </row>
    <row r="125" spans="1:5">
      <c r="A125" t="s">
        <v>32</v>
      </c>
      <c r="B125">
        <v>1</v>
      </c>
      <c r="C125" s="11">
        <f t="shared" si="8"/>
        <v>36</v>
      </c>
      <c r="D125">
        <f t="shared" si="10"/>
        <v>0</v>
      </c>
      <c r="E125">
        <f>C125*$G$101</f>
        <v>6.7500000000000004E-2</v>
      </c>
    </row>
    <row r="126" spans="1:5">
      <c r="A126" t="s">
        <v>33</v>
      </c>
      <c r="B126">
        <v>2</v>
      </c>
      <c r="C126" s="11">
        <f t="shared" si="8"/>
        <v>72</v>
      </c>
      <c r="D126">
        <f t="shared" si="10"/>
        <v>0</v>
      </c>
      <c r="E126">
        <f>C126*$G$101</f>
        <v>0.13500000000000001</v>
      </c>
    </row>
    <row r="127" spans="1:5">
      <c r="A127" t="s">
        <v>36</v>
      </c>
      <c r="B127">
        <v>2</v>
      </c>
      <c r="C127" s="11">
        <f t="shared" si="8"/>
        <v>72</v>
      </c>
      <c r="D127">
        <f>C127*$F$97</f>
        <v>1.8360000000000001E-2</v>
      </c>
      <c r="E127">
        <f>C127*$G$97</f>
        <v>0.26352000000000003</v>
      </c>
    </row>
    <row r="128" spans="1:5">
      <c r="A128" t="s">
        <v>37</v>
      </c>
      <c r="B128">
        <v>0.5</v>
      </c>
      <c r="C128" s="11">
        <f t="shared" si="8"/>
        <v>18</v>
      </c>
      <c r="D128">
        <f t="shared" ref="D128:D132" si="11">C128*$F$97</f>
        <v>4.5900000000000003E-3</v>
      </c>
      <c r="E128">
        <f t="shared" ref="E128:E131" si="12">C128*$G$97</f>
        <v>6.5880000000000008E-2</v>
      </c>
    </row>
    <row r="129" spans="1:7">
      <c r="A129" t="s">
        <v>38</v>
      </c>
      <c r="B129">
        <v>1</v>
      </c>
      <c r="C129" s="11">
        <f t="shared" si="8"/>
        <v>36</v>
      </c>
      <c r="D129">
        <f t="shared" si="11"/>
        <v>9.1800000000000007E-3</v>
      </c>
      <c r="E129">
        <f>C129*$G$97</f>
        <v>0.13176000000000002</v>
      </c>
    </row>
    <row r="130" spans="1:7">
      <c r="A130" t="s">
        <v>39</v>
      </c>
      <c r="B130">
        <v>0.5</v>
      </c>
      <c r="C130" s="11">
        <f t="shared" si="8"/>
        <v>18</v>
      </c>
      <c r="D130">
        <f t="shared" si="11"/>
        <v>4.5900000000000003E-3</v>
      </c>
      <c r="E130">
        <f t="shared" si="12"/>
        <v>6.5880000000000008E-2</v>
      </c>
    </row>
    <row r="131" spans="1:7">
      <c r="A131" t="s">
        <v>40</v>
      </c>
      <c r="B131">
        <v>1</v>
      </c>
      <c r="C131" s="11">
        <f t="shared" si="8"/>
        <v>36</v>
      </c>
      <c r="D131">
        <f t="shared" si="11"/>
        <v>9.1800000000000007E-3</v>
      </c>
      <c r="E131">
        <f t="shared" si="12"/>
        <v>0.13176000000000002</v>
      </c>
    </row>
    <row r="132" spans="1:7">
      <c r="A132" t="s">
        <v>41</v>
      </c>
      <c r="B132">
        <v>2</v>
      </c>
      <c r="C132" s="11">
        <f t="shared" si="8"/>
        <v>72</v>
      </c>
      <c r="D132">
        <f t="shared" si="11"/>
        <v>1.8360000000000001E-2</v>
      </c>
      <c r="E132">
        <f>C132*$G$97</f>
        <v>0.26352000000000003</v>
      </c>
    </row>
    <row r="133" spans="1:7">
      <c r="A133" t="s">
        <v>107</v>
      </c>
      <c r="B133">
        <v>1</v>
      </c>
      <c r="C133" s="11">
        <f t="shared" si="8"/>
        <v>36</v>
      </c>
      <c r="D133">
        <f>C133*F100</f>
        <v>0</v>
      </c>
      <c r="E133">
        <f>C133*G100</f>
        <v>0.24299999999999999</v>
      </c>
    </row>
    <row r="134" spans="1:7">
      <c r="A134" t="s">
        <v>3</v>
      </c>
      <c r="B134">
        <v>4</v>
      </c>
      <c r="C134" s="11">
        <f t="shared" si="8"/>
        <v>144</v>
      </c>
      <c r="D134">
        <f>C134*F101</f>
        <v>0</v>
      </c>
      <c r="E134">
        <f>C134*G101</f>
        <v>0.27</v>
      </c>
    </row>
    <row r="135" spans="1:7">
      <c r="A135" t="s">
        <v>116</v>
      </c>
      <c r="B135">
        <v>0.1</v>
      </c>
      <c r="C135" s="11">
        <f t="shared" si="8"/>
        <v>3.6</v>
      </c>
      <c r="D135">
        <f>C135*F108</f>
        <v>3.7260000000000006E-3</v>
      </c>
      <c r="E135">
        <f>C135*G108</f>
        <v>2.0142E-2</v>
      </c>
    </row>
    <row r="136" spans="1:7">
      <c r="A136" t="s">
        <v>404</v>
      </c>
      <c r="C136">
        <f>SUM(C122:C135)</f>
        <v>687.6</v>
      </c>
      <c r="D136">
        <f>SUM(D122:D135)</f>
        <v>6.7986000000000019E-2</v>
      </c>
      <c r="E136">
        <f>SUM(E122:E135)</f>
        <v>1.9279620000000002</v>
      </c>
      <c r="F136">
        <f>D136/15*100</f>
        <v>0.45324000000000014</v>
      </c>
      <c r="G136">
        <f>E136/15*100</f>
        <v>12.85308</v>
      </c>
    </row>
    <row r="137" spans="1:7">
      <c r="A137" t="s">
        <v>405</v>
      </c>
      <c r="D137" s="77">
        <f>AVERAGE(D136:E136)</f>
        <v>0.99797400000000014</v>
      </c>
      <c r="E137" s="77"/>
    </row>
    <row r="138" spans="1:7">
      <c r="A138" t="s">
        <v>406</v>
      </c>
    </row>
  </sheetData>
  <mergeCells count="6">
    <mergeCell ref="F93:G93"/>
    <mergeCell ref="D137:E137"/>
    <mergeCell ref="D120:E120"/>
    <mergeCell ref="B93:C93"/>
    <mergeCell ref="D93:E93"/>
    <mergeCell ref="D94:E94"/>
  </mergeCells>
  <hyperlinks>
    <hyperlink ref="C34" r:id="rId1" xr:uid="{83A07653-E249-40A7-BDF9-8E12AD47E486}"/>
    <hyperlink ref="C36" r:id="rId2" xr:uid="{35F54566-2D73-45CC-A6F6-15CFCC98291A}"/>
    <hyperlink ref="F17" r:id="rId3" xr:uid="{D8C6D601-E912-4F9D-AEF3-FA60BB27F625}"/>
    <hyperlink ref="F19" r:id="rId4" xr:uid="{50CB2A0D-94FA-4C5D-B9B2-954A37ACF5CA}"/>
  </hyperlinks>
  <pageMargins left="0.7" right="0.7" top="0.75" bottom="0.75" header="0.3" footer="0.3"/>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1C4E5-7919-4839-9A5A-9347A3F140CB}">
  <dimension ref="B3:F16"/>
  <sheetViews>
    <sheetView topLeftCell="E1" workbookViewId="0">
      <selection activeCell="E12" sqref="E12"/>
    </sheetView>
  </sheetViews>
  <sheetFormatPr defaultRowHeight="15"/>
  <cols>
    <col min="3" max="3" width="31.7109375" customWidth="1"/>
    <col min="4" max="4" width="16.7109375" customWidth="1"/>
    <col min="5" max="5" width="25.28515625" customWidth="1"/>
    <col min="6" max="6" width="17.5703125" customWidth="1"/>
  </cols>
  <sheetData>
    <row r="3" spans="2:6">
      <c r="B3" t="s">
        <v>407</v>
      </c>
      <c r="D3" t="s">
        <v>408</v>
      </c>
      <c r="E3" t="s">
        <v>409</v>
      </c>
      <c r="F3" t="s">
        <v>410</v>
      </c>
    </row>
    <row r="4" spans="2:6">
      <c r="B4" t="s">
        <v>411</v>
      </c>
      <c r="C4" t="s">
        <v>305</v>
      </c>
      <c r="E4" s="30">
        <f>'Nitrogen import'!A5</f>
        <v>45.624000000000002</v>
      </c>
      <c r="F4" t="s">
        <v>412</v>
      </c>
    </row>
    <row r="5" spans="2:6">
      <c r="C5" t="s">
        <v>413</v>
      </c>
      <c r="D5" t="s">
        <v>414</v>
      </c>
      <c r="E5" s="30">
        <f>'Nitrogen import'!D137</f>
        <v>0.99797400000000014</v>
      </c>
    </row>
    <row r="6" spans="2:6">
      <c r="C6" t="s">
        <v>415</v>
      </c>
      <c r="D6" t="s">
        <v>416</v>
      </c>
      <c r="E6" s="30">
        <f>'Nitrogen import'!B40</f>
        <v>102.8094562962963</v>
      </c>
    </row>
    <row r="7" spans="2:6">
      <c r="C7" t="s">
        <v>310</v>
      </c>
      <c r="D7" t="s">
        <v>417</v>
      </c>
      <c r="E7" s="30">
        <f>'Nitrogen import'!B25</f>
        <v>218.02325581395351</v>
      </c>
    </row>
    <row r="8" spans="2:6">
      <c r="C8" t="s">
        <v>418</v>
      </c>
      <c r="D8" t="s">
        <v>419</v>
      </c>
      <c r="E8" s="31" t="s">
        <v>420</v>
      </c>
    </row>
    <row r="9" spans="2:6">
      <c r="C9" t="s">
        <v>421</v>
      </c>
      <c r="E9" s="31" t="s">
        <v>422</v>
      </c>
    </row>
    <row r="10" spans="2:6">
      <c r="C10" t="s">
        <v>404</v>
      </c>
      <c r="E10" s="30">
        <f>SUM(E4:E7)</f>
        <v>367.45468611024978</v>
      </c>
    </row>
    <row r="11" spans="2:6">
      <c r="B11" t="s">
        <v>423</v>
      </c>
      <c r="C11" t="s">
        <v>424</v>
      </c>
      <c r="E11" s="30">
        <f>'Nitrogen export'!B183</f>
        <v>54.505813953488378</v>
      </c>
    </row>
    <row r="12" spans="2:6">
      <c r="C12" t="s">
        <v>425</v>
      </c>
      <c r="E12" s="30">
        <f>'Nitrogen export'!J145</f>
        <v>50.392889000000018</v>
      </c>
    </row>
    <row r="13" spans="2:6">
      <c r="C13" t="s">
        <v>426</v>
      </c>
      <c r="E13">
        <f>'Nitrogen export'!A191</f>
        <v>7.3</v>
      </c>
    </row>
    <row r="14" spans="2:6">
      <c r="C14" t="s">
        <v>427</v>
      </c>
      <c r="E14" s="31" t="s">
        <v>422</v>
      </c>
    </row>
    <row r="15" spans="2:6">
      <c r="C15" t="s">
        <v>404</v>
      </c>
      <c r="E15" s="30">
        <f>SUM(E11:E13)</f>
        <v>112.19870295348839</v>
      </c>
    </row>
    <row r="16" spans="2:6">
      <c r="B16" t="s">
        <v>428</v>
      </c>
      <c r="E16" s="30">
        <f>E10-E15</f>
        <v>255.25598315676137</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642B5-D174-4B63-B2A5-60117A15096B}">
  <dimension ref="A1:T63"/>
  <sheetViews>
    <sheetView tabSelected="1" topLeftCell="A7" workbookViewId="0">
      <selection activeCell="H7" sqref="H7"/>
    </sheetView>
  </sheetViews>
  <sheetFormatPr defaultRowHeight="15"/>
  <cols>
    <col min="2" max="2" width="32.5703125" customWidth="1"/>
    <col min="4" max="6" width="16" customWidth="1"/>
    <col min="7" max="7" width="16.140625" customWidth="1"/>
    <col min="8" max="8" width="14.140625" customWidth="1"/>
    <col min="9" max="9" width="38" customWidth="1"/>
    <col min="10" max="10" width="15.140625" customWidth="1"/>
    <col min="13" max="13" width="23.7109375" customWidth="1"/>
    <col min="14" max="14" width="18.7109375" customWidth="1"/>
    <col min="15" max="15" width="18.85546875" customWidth="1"/>
    <col min="18" max="18" width="20.7109375" customWidth="1"/>
    <col min="19" max="19" width="9.7109375" bestFit="1" customWidth="1"/>
  </cols>
  <sheetData>
    <row r="1" spans="1:16">
      <c r="B1" s="10"/>
      <c r="C1" s="10"/>
    </row>
    <row r="2" spans="1:16">
      <c r="B2" t="s">
        <v>429</v>
      </c>
      <c r="C2" s="14"/>
      <c r="D2" s="14"/>
      <c r="E2" s="14"/>
      <c r="F2" s="14"/>
    </row>
    <row r="3" spans="1:16" ht="40.5" customHeight="1">
      <c r="A3" s="14"/>
      <c r="B3" s="62" t="s">
        <v>411</v>
      </c>
      <c r="C3" s="60" t="s">
        <v>430</v>
      </c>
      <c r="D3" s="61" t="s">
        <v>431</v>
      </c>
      <c r="E3" s="61" t="s">
        <v>432</v>
      </c>
      <c r="F3" s="61" t="s">
        <v>433</v>
      </c>
      <c r="G3" s="61" t="s">
        <v>434</v>
      </c>
      <c r="H3" s="61" t="s">
        <v>435</v>
      </c>
      <c r="I3" s="39"/>
    </row>
    <row r="4" spans="1:16">
      <c r="A4" s="14"/>
      <c r="B4" s="56" t="s">
        <v>436</v>
      </c>
      <c r="C4" s="16">
        <v>0</v>
      </c>
      <c r="D4" s="16"/>
      <c r="E4" s="16"/>
      <c r="F4" s="16">
        <f>E39</f>
        <v>200</v>
      </c>
      <c r="G4" s="48">
        <f>E40</f>
        <v>55</v>
      </c>
      <c r="H4" s="48">
        <f>(G4/100)*F4*C4</f>
        <v>0</v>
      </c>
      <c r="I4" s="14"/>
      <c r="M4" t="s">
        <v>429</v>
      </c>
      <c r="N4" s="13" t="s">
        <v>437</v>
      </c>
      <c r="O4" s="13" t="s">
        <v>438</v>
      </c>
    </row>
    <row r="5" spans="1:16" ht="30">
      <c r="A5" s="14"/>
      <c r="B5" s="57" t="s">
        <v>439</v>
      </c>
      <c r="C5" s="16">
        <v>0</v>
      </c>
      <c r="D5" s="16"/>
      <c r="E5" s="16"/>
      <c r="F5" s="16">
        <v>200</v>
      </c>
      <c r="G5" s="16">
        <v>55</v>
      </c>
      <c r="H5" s="48">
        <f>(G5/100)*F5*C5</f>
        <v>0</v>
      </c>
      <c r="I5" s="14"/>
      <c r="M5" s="2" t="s">
        <v>440</v>
      </c>
      <c r="N5" s="75">
        <f>H10</f>
        <v>250</v>
      </c>
      <c r="O5" t="s">
        <v>441</v>
      </c>
      <c r="P5" s="32" t="s">
        <v>442</v>
      </c>
    </row>
    <row r="6" spans="1:16" ht="30">
      <c r="A6" s="14"/>
      <c r="B6" s="57" t="s">
        <v>443</v>
      </c>
      <c r="C6" s="16">
        <v>0</v>
      </c>
      <c r="D6" s="16"/>
      <c r="E6" s="16"/>
      <c r="F6" s="16">
        <f>AVERAGE('Nitrogen import'!B99:C99)</f>
        <v>160</v>
      </c>
      <c r="G6" s="16">
        <v>50</v>
      </c>
      <c r="H6" s="16">
        <f>F6*(G6/100)*C6</f>
        <v>0</v>
      </c>
      <c r="I6" s="14"/>
      <c r="J6" t="s">
        <v>444</v>
      </c>
      <c r="M6" s="2" t="s">
        <v>445</v>
      </c>
      <c r="N6" s="75">
        <f>H19</f>
        <v>42.600000000000009</v>
      </c>
      <c r="O6" t="s">
        <v>446</v>
      </c>
      <c r="P6" s="32" t="s">
        <v>447</v>
      </c>
    </row>
    <row r="7" spans="1:16" ht="30">
      <c r="A7" s="14"/>
      <c r="B7" s="57" t="s">
        <v>448</v>
      </c>
      <c r="C7" s="16">
        <v>1.8</v>
      </c>
      <c r="D7" s="16"/>
      <c r="E7" s="16"/>
      <c r="F7" s="16">
        <f>AVERAGE('Nitrogen import'!B108:C108)</f>
        <v>221</v>
      </c>
      <c r="G7" s="16">
        <v>50</v>
      </c>
      <c r="H7" s="16">
        <f>F7*(G7/100)*C7</f>
        <v>198.9</v>
      </c>
      <c r="I7" s="14"/>
      <c r="J7">
        <v>0.4</v>
      </c>
      <c r="M7" s="2" t="s">
        <v>449</v>
      </c>
      <c r="N7" s="75">
        <f>H16</f>
        <v>5.9400000000000013</v>
      </c>
      <c r="O7" t="s">
        <v>446</v>
      </c>
    </row>
    <row r="8" spans="1:16" ht="45">
      <c r="A8" s="14"/>
      <c r="B8" s="57" t="s">
        <v>381</v>
      </c>
      <c r="C8" s="16">
        <v>0</v>
      </c>
      <c r="D8" s="16"/>
      <c r="E8" s="16"/>
      <c r="F8" s="16">
        <f>AVERAGE('Nitrogen import'!B100:C100)</f>
        <v>225</v>
      </c>
      <c r="G8" s="16">
        <v>15</v>
      </c>
      <c r="H8" s="16">
        <f>F8*(G8/100)*C8</f>
        <v>0</v>
      </c>
      <c r="I8" s="14"/>
      <c r="J8">
        <f>J7*H10</f>
        <v>100</v>
      </c>
      <c r="M8" s="2" t="s">
        <v>450</v>
      </c>
      <c r="N8" s="75">
        <f>H14</f>
        <v>188.23529411764707</v>
      </c>
      <c r="O8" t="s">
        <v>451</v>
      </c>
    </row>
    <row r="9" spans="1:16" ht="60">
      <c r="A9" s="14"/>
      <c r="B9" s="58" t="s">
        <v>379</v>
      </c>
      <c r="C9" s="53">
        <v>0</v>
      </c>
      <c r="D9" s="53"/>
      <c r="E9" s="53"/>
      <c r="F9" s="53">
        <f>AVERAGE('Nitrogen import'!B98:C98)</f>
        <v>191.5</v>
      </c>
      <c r="G9" s="53">
        <v>15</v>
      </c>
      <c r="H9" s="53">
        <f>F9*(G9/100)*C9</f>
        <v>0</v>
      </c>
      <c r="I9" s="14"/>
      <c r="M9" s="2" t="s">
        <v>452</v>
      </c>
      <c r="N9">
        <f>H7</f>
        <v>198.9</v>
      </c>
      <c r="O9" s="2" t="s">
        <v>453</v>
      </c>
      <c r="P9" t="s">
        <v>406</v>
      </c>
    </row>
    <row r="10" spans="1:16">
      <c r="A10" s="14"/>
      <c r="B10" s="57" t="s">
        <v>454</v>
      </c>
      <c r="C10" s="16"/>
      <c r="D10" s="16"/>
      <c r="E10" s="16"/>
      <c r="F10" s="16">
        <v>50</v>
      </c>
      <c r="G10" s="16"/>
      <c r="H10" s="16">
        <f>F10*5</f>
        <v>250</v>
      </c>
      <c r="I10" s="14"/>
      <c r="M10" s="2" t="s">
        <v>455</v>
      </c>
      <c r="N10" s="75">
        <f>N5+N9-N6-N7-N8</f>
        <v>212.12470588235288</v>
      </c>
    </row>
    <row r="11" spans="1:16">
      <c r="B11" s="59" t="s">
        <v>456</v>
      </c>
      <c r="C11" s="54">
        <f>SUM(C4:C9)</f>
        <v>1.8</v>
      </c>
      <c r="D11" s="54"/>
      <c r="E11" s="54"/>
      <c r="F11" s="54"/>
      <c r="G11" s="54"/>
      <c r="H11" s="68">
        <f>SUM(H4:H10)</f>
        <v>448.9</v>
      </c>
      <c r="I11">
        <f>0.4*H11</f>
        <v>179.56</v>
      </c>
    </row>
    <row r="13" spans="1:16" ht="30">
      <c r="A13" s="14"/>
      <c r="B13" s="62" t="s">
        <v>423</v>
      </c>
      <c r="C13" s="65" t="s">
        <v>430</v>
      </c>
      <c r="D13" s="61" t="s">
        <v>457</v>
      </c>
      <c r="E13" s="61" t="s">
        <v>458</v>
      </c>
      <c r="F13" s="61" t="s">
        <v>459</v>
      </c>
      <c r="G13" s="61" t="s">
        <v>460</v>
      </c>
      <c r="H13" s="61" t="s">
        <v>461</v>
      </c>
      <c r="I13" s="39"/>
      <c r="J13" s="35"/>
    </row>
    <row r="14" spans="1:16">
      <c r="A14" s="14"/>
      <c r="B14" s="63" t="s">
        <v>462</v>
      </c>
      <c r="C14" s="16"/>
      <c r="D14" s="16">
        <f>C37</f>
        <v>69.180492709904485</v>
      </c>
      <c r="E14" s="16">
        <f>C35</f>
        <v>10055.304172951232</v>
      </c>
      <c r="F14" s="16"/>
      <c r="G14" s="16">
        <f>C33</f>
        <v>3.12</v>
      </c>
      <c r="H14" s="16">
        <f>C32</f>
        <v>188.23529411764707</v>
      </c>
      <c r="I14" s="40"/>
      <c r="J14" t="s">
        <v>463</v>
      </c>
    </row>
    <row r="15" spans="1:16" ht="15" customHeight="1">
      <c r="A15" s="14"/>
      <c r="B15" s="64" t="s">
        <v>464</v>
      </c>
      <c r="C15" s="16"/>
      <c r="D15" s="16"/>
      <c r="E15" s="16"/>
      <c r="F15" s="16"/>
      <c r="G15" s="16"/>
      <c r="H15" s="16"/>
      <c r="I15" s="40"/>
      <c r="J15" s="10" t="s">
        <v>465</v>
      </c>
      <c r="K15" s="14"/>
    </row>
    <row r="16" spans="1:16">
      <c r="A16" s="14"/>
      <c r="B16" s="57" t="s">
        <v>466</v>
      </c>
      <c r="C16" s="16">
        <v>0.2</v>
      </c>
      <c r="D16" s="16"/>
      <c r="E16" s="16"/>
      <c r="F16" s="16">
        <v>15</v>
      </c>
      <c r="G16" s="16">
        <f>'Nitrogen export'!R21</f>
        <v>1.98E-3</v>
      </c>
      <c r="H16" s="16">
        <f>(F16/10)*C16*10000*G16</f>
        <v>5.9400000000000013</v>
      </c>
      <c r="I16" s="14"/>
    </row>
    <row r="17" spans="1:15">
      <c r="A17" s="14"/>
      <c r="B17" s="57" t="s">
        <v>467</v>
      </c>
      <c r="C17" s="16">
        <v>0</v>
      </c>
      <c r="D17" s="16"/>
      <c r="E17" s="16"/>
      <c r="F17" s="16">
        <f>I27*I28</f>
        <v>226</v>
      </c>
      <c r="G17" s="16">
        <f>'Nitrogen export'!R25</f>
        <v>1.3800000000000002E-3</v>
      </c>
      <c r="H17" s="16">
        <f>(F17/10)*C17*10000*G17</f>
        <v>0</v>
      </c>
      <c r="I17" s="14"/>
    </row>
    <row r="18" spans="1:15">
      <c r="A18" s="14"/>
      <c r="B18" s="57" t="s">
        <v>468</v>
      </c>
      <c r="C18" s="16">
        <v>0</v>
      </c>
      <c r="D18" s="16"/>
      <c r="E18" s="16"/>
      <c r="F18" s="16">
        <f>I27/2*I28</f>
        <v>113</v>
      </c>
      <c r="G18" s="16">
        <f>'Nitrogen export'!R32</f>
        <v>7.1000000000000004E-3</v>
      </c>
      <c r="H18" s="16">
        <f>(F18/10)*C18*10000*G18</f>
        <v>0</v>
      </c>
      <c r="I18" s="14"/>
    </row>
    <row r="19" spans="1:15">
      <c r="A19" s="14"/>
      <c r="B19" s="57" t="s">
        <v>469</v>
      </c>
      <c r="C19" s="16">
        <v>3</v>
      </c>
      <c r="D19" s="16"/>
      <c r="E19" s="16"/>
      <c r="F19" s="16">
        <f>2000/1000</f>
        <v>2</v>
      </c>
      <c r="G19" s="16">
        <f>'Nitrogen export'!R32</f>
        <v>7.1000000000000004E-3</v>
      </c>
      <c r="H19" s="16">
        <f>(F19/10)*C19*10000*G19</f>
        <v>42.600000000000009</v>
      </c>
      <c r="I19" s="14"/>
    </row>
    <row r="20" spans="1:15">
      <c r="A20" s="14"/>
      <c r="B20" s="57" t="s">
        <v>470</v>
      </c>
      <c r="C20" s="16"/>
      <c r="D20" s="16"/>
      <c r="E20" s="16"/>
      <c r="F20" s="16">
        <f>2.5*10</f>
        <v>25</v>
      </c>
      <c r="G20" s="16">
        <v>3.2000000000000002E-3</v>
      </c>
      <c r="H20" s="16">
        <f>(F20/10)*C20*10000*G20</f>
        <v>0</v>
      </c>
      <c r="I20" s="14"/>
    </row>
    <row r="21" spans="1:15">
      <c r="A21" s="14"/>
      <c r="B21" s="57" t="s">
        <v>456</v>
      </c>
      <c r="C21" s="16">
        <f>SUM(C15:C20)</f>
        <v>3.2</v>
      </c>
      <c r="D21" s="16"/>
      <c r="E21" s="16"/>
      <c r="F21" s="16"/>
      <c r="G21" s="16"/>
      <c r="H21" s="67">
        <f>SUM(H14:H20)</f>
        <v>236.77529411764709</v>
      </c>
      <c r="I21" s="14"/>
    </row>
    <row r="22" spans="1:15">
      <c r="B22" s="14"/>
      <c r="C22" s="14"/>
      <c r="D22" s="14"/>
      <c r="E22" s="14"/>
      <c r="F22" s="14"/>
      <c r="G22" s="14"/>
      <c r="H22" s="14"/>
    </row>
    <row r="23" spans="1:15">
      <c r="A23" s="14"/>
      <c r="B23" s="66" t="s">
        <v>428</v>
      </c>
      <c r="C23" s="16">
        <f>SUM(C4:C10,C14:C20)</f>
        <v>5</v>
      </c>
      <c r="D23" s="16"/>
      <c r="E23" s="16"/>
      <c r="F23" s="16"/>
      <c r="G23" s="16"/>
      <c r="H23" s="67">
        <f>H11-H21</f>
        <v>212.12470588235288</v>
      </c>
      <c r="I23" s="14"/>
    </row>
    <row r="24" spans="1:15">
      <c r="B24" s="14"/>
      <c r="C24" s="14"/>
      <c r="D24" s="14"/>
      <c r="E24" s="14"/>
      <c r="F24" s="14"/>
      <c r="G24" s="14"/>
      <c r="H24" s="14"/>
    </row>
    <row r="25" spans="1:15">
      <c r="B25" s="36" t="s">
        <v>471</v>
      </c>
    </row>
    <row r="26" spans="1:15">
      <c r="B26" t="s">
        <v>472</v>
      </c>
      <c r="C26">
        <f>'Nitrogen export'!J145</f>
        <v>50.392889000000018</v>
      </c>
    </row>
    <row r="27" spans="1:15">
      <c r="B27" t="s">
        <v>473</v>
      </c>
      <c r="C27">
        <f>60</f>
        <v>60</v>
      </c>
      <c r="H27" t="s">
        <v>474</v>
      </c>
      <c r="I27">
        <v>226</v>
      </c>
    </row>
    <row r="28" spans="1:15">
      <c r="B28" t="s">
        <v>475</v>
      </c>
      <c r="C28" s="37">
        <v>35</v>
      </c>
      <c r="D28" s="10" t="s">
        <v>476</v>
      </c>
      <c r="H28" t="s">
        <v>477</v>
      </c>
      <c r="I28">
        <v>1</v>
      </c>
    </row>
    <row r="29" spans="1:15">
      <c r="B29" t="s">
        <v>478</v>
      </c>
      <c r="C29" s="37">
        <v>50</v>
      </c>
      <c r="D29" s="10" t="s">
        <v>479</v>
      </c>
    </row>
    <row r="30" spans="1:15">
      <c r="B30" t="s">
        <v>480</v>
      </c>
      <c r="C30" s="37">
        <f>AVERAGE(C28:C29)</f>
        <v>42.5</v>
      </c>
      <c r="D30" s="10"/>
      <c r="I30" s="14" t="s">
        <v>481</v>
      </c>
      <c r="J30" s="14"/>
      <c r="K30" s="14"/>
      <c r="L30" s="14"/>
      <c r="M30" s="14"/>
      <c r="N30" s="14"/>
    </row>
    <row r="31" spans="1:15">
      <c r="B31" t="s">
        <v>482</v>
      </c>
      <c r="C31">
        <f>C27/C30*100</f>
        <v>141.1764705882353</v>
      </c>
      <c r="H31" s="14"/>
      <c r="I31" s="16" t="s">
        <v>483</v>
      </c>
      <c r="J31" s="73">
        <f>C31</f>
        <v>141.1764705882353</v>
      </c>
      <c r="K31" s="14"/>
      <c r="L31" s="14"/>
      <c r="M31" s="14"/>
      <c r="N31" s="14"/>
      <c r="O31" s="14"/>
    </row>
    <row r="32" spans="1:15">
      <c r="B32" t="s">
        <v>484</v>
      </c>
      <c r="C32">
        <f>C31/75*100</f>
        <v>188.23529411764707</v>
      </c>
      <c r="H32" s="14"/>
      <c r="I32" s="16" t="s">
        <v>485</v>
      </c>
      <c r="J32" s="74">
        <v>0.25</v>
      </c>
      <c r="K32" s="14"/>
      <c r="L32" s="14"/>
      <c r="M32" s="14"/>
      <c r="N32" s="14"/>
      <c r="O32" s="14"/>
    </row>
    <row r="33" spans="2:15">
      <c r="B33" s="38" t="s">
        <v>486</v>
      </c>
      <c r="C33">
        <v>3.12</v>
      </c>
      <c r="D33" s="10" t="s">
        <v>465</v>
      </c>
      <c r="H33" s="14"/>
      <c r="I33" s="16" t="s">
        <v>487</v>
      </c>
      <c r="J33" s="73">
        <f>C32</f>
        <v>188.23529411764707</v>
      </c>
      <c r="K33" s="14"/>
      <c r="L33" s="14"/>
      <c r="M33" s="14"/>
      <c r="N33" s="14"/>
      <c r="O33" s="14"/>
    </row>
    <row r="34" spans="2:15">
      <c r="B34" t="s">
        <v>488</v>
      </c>
      <c r="C34">
        <f>C32/C33*100</f>
        <v>6033.1825037707385</v>
      </c>
      <c r="H34" s="14"/>
      <c r="I34" s="16"/>
      <c r="J34" s="16"/>
      <c r="K34" s="14"/>
      <c r="L34" s="14"/>
      <c r="M34" s="14"/>
      <c r="N34" s="14"/>
      <c r="O34" s="14"/>
    </row>
    <row r="35" spans="2:15">
      <c r="B35" t="s">
        <v>489</v>
      </c>
      <c r="C35">
        <f>C34/60*100</f>
        <v>10055.304172951232</v>
      </c>
      <c r="H35" s="14"/>
      <c r="I35" s="16"/>
      <c r="J35" s="16"/>
      <c r="K35" s="14"/>
      <c r="L35" s="14"/>
      <c r="M35" s="14"/>
      <c r="N35" s="14"/>
      <c r="O35" s="14"/>
    </row>
    <row r="36" spans="2:15">
      <c r="B36" t="s">
        <v>490</v>
      </c>
      <c r="C36">
        <f>C34*'Nitrogen import'!B18</f>
        <v>41.508295625942687</v>
      </c>
      <c r="I36" s="14"/>
      <c r="J36" s="14"/>
      <c r="K36" s="14"/>
      <c r="L36" s="14"/>
      <c r="M36" s="14"/>
      <c r="N36" s="14"/>
    </row>
    <row r="37" spans="2:15">
      <c r="B37" t="s">
        <v>491</v>
      </c>
      <c r="C37">
        <f>C35*'Nitrogen import'!B18</f>
        <v>69.180492709904485</v>
      </c>
    </row>
    <row r="38" spans="2:15">
      <c r="C38" t="s">
        <v>373</v>
      </c>
      <c r="D38" t="s">
        <v>374</v>
      </c>
      <c r="E38" t="s">
        <v>492</v>
      </c>
    </row>
    <row r="39" spans="2:15">
      <c r="B39" t="s">
        <v>493</v>
      </c>
      <c r="C39">
        <v>100</v>
      </c>
      <c r="D39">
        <v>300</v>
      </c>
      <c r="E39">
        <f>AVERAGE(C39:D39)</f>
        <v>200</v>
      </c>
    </row>
    <row r="40" spans="2:15">
      <c r="B40" t="s">
        <v>494</v>
      </c>
      <c r="C40">
        <v>20</v>
      </c>
      <c r="D40">
        <v>90</v>
      </c>
      <c r="E40">
        <f t="shared" ref="E40:E41" si="0">AVERAGE(C40:D40)</f>
        <v>55</v>
      </c>
    </row>
    <row r="41" spans="2:15">
      <c r="B41" t="s">
        <v>495</v>
      </c>
      <c r="C41">
        <v>0.2</v>
      </c>
      <c r="D41">
        <v>2</v>
      </c>
      <c r="E41">
        <f t="shared" si="0"/>
        <v>1.1000000000000001</v>
      </c>
    </row>
    <row r="51" spans="11:20">
      <c r="L51" t="s">
        <v>496</v>
      </c>
      <c r="M51" t="s">
        <v>497</v>
      </c>
      <c r="N51" t="s">
        <v>498</v>
      </c>
      <c r="O51" t="s">
        <v>499</v>
      </c>
      <c r="P51" t="s">
        <v>500</v>
      </c>
      <c r="Q51" t="s">
        <v>501</v>
      </c>
      <c r="R51" t="s">
        <v>502</v>
      </c>
      <c r="S51" t="s">
        <v>503</v>
      </c>
      <c r="T51" t="s">
        <v>502</v>
      </c>
    </row>
    <row r="52" spans="11:20">
      <c r="K52" t="s">
        <v>504</v>
      </c>
      <c r="P52" s="22">
        <f t="shared" ref="P52:P60" si="1">14/(14+2*16)</f>
        <v>0.30434782608695654</v>
      </c>
      <c r="Q52" s="22">
        <f t="shared" ref="Q52:Q60" si="2">14/(14+3*16)</f>
        <v>0.22580645161290322</v>
      </c>
      <c r="S52" s="22"/>
    </row>
    <row r="53" spans="11:20">
      <c r="K53" t="s">
        <v>505</v>
      </c>
      <c r="L53">
        <v>0.61</v>
      </c>
      <c r="M53">
        <v>59.6</v>
      </c>
      <c r="N53">
        <f>L53/1000/100</f>
        <v>6.1E-6</v>
      </c>
      <c r="O53">
        <f>M53/1000/100</f>
        <v>5.9599999999999996E-4</v>
      </c>
      <c r="P53" s="22">
        <f t="shared" si="1"/>
        <v>0.30434782608695654</v>
      </c>
      <c r="Q53" s="22">
        <f t="shared" si="2"/>
        <v>0.22580645161290322</v>
      </c>
      <c r="R53">
        <f t="shared" ref="R53:R60" si="3">N53*P53+Q53*O53</f>
        <v>1.3643716690042075E-4</v>
      </c>
      <c r="S53">
        <f t="shared" ref="S53:S60" si="4">R53/1000</f>
        <v>1.3643716690042076E-7</v>
      </c>
      <c r="T53">
        <f t="shared" ref="T53:T60" si="5">N53+O53</f>
        <v>6.0209999999999994E-4</v>
      </c>
    </row>
    <row r="54" spans="11:20">
      <c r="K54" t="s">
        <v>506</v>
      </c>
      <c r="L54">
        <v>0.17</v>
      </c>
      <c r="M54">
        <v>28.5</v>
      </c>
      <c r="O54">
        <f t="shared" ref="O54:O60" si="6">M54/1000/100</f>
        <v>2.8499999999999999E-4</v>
      </c>
      <c r="P54" s="22">
        <f t="shared" si="1"/>
        <v>0.30434782608695654</v>
      </c>
      <c r="Q54" s="22">
        <f t="shared" si="2"/>
        <v>0.22580645161290322</v>
      </c>
      <c r="R54">
        <f t="shared" si="3"/>
        <v>6.435483870967742E-5</v>
      </c>
      <c r="S54">
        <f t="shared" si="4"/>
        <v>6.4354838709677414E-8</v>
      </c>
      <c r="T54">
        <f t="shared" si="5"/>
        <v>2.8499999999999999E-4</v>
      </c>
    </row>
    <row r="55" spans="11:20">
      <c r="K55" t="s">
        <v>507</v>
      </c>
      <c r="L55">
        <v>0.51</v>
      </c>
      <c r="M55">
        <v>10.3</v>
      </c>
      <c r="N55">
        <f t="shared" ref="N55:N60" si="7">L55/1000/100</f>
        <v>5.1000000000000003E-6</v>
      </c>
      <c r="O55">
        <f t="shared" si="6"/>
        <v>1.03E-4</v>
      </c>
      <c r="P55" s="22">
        <f t="shared" si="1"/>
        <v>0.30434782608695654</v>
      </c>
      <c r="Q55" s="22">
        <f t="shared" si="2"/>
        <v>0.22580645161290322</v>
      </c>
      <c r="R55">
        <f t="shared" si="3"/>
        <v>2.4810238429172511E-5</v>
      </c>
      <c r="S55">
        <f t="shared" si="4"/>
        <v>2.4810238429172511E-8</v>
      </c>
      <c r="T55">
        <f t="shared" si="5"/>
        <v>1.081E-4</v>
      </c>
    </row>
    <row r="56" spans="11:20">
      <c r="K56" t="s">
        <v>508</v>
      </c>
      <c r="L56">
        <v>0.46</v>
      </c>
      <c r="M56">
        <v>17.8</v>
      </c>
      <c r="N56">
        <f t="shared" si="7"/>
        <v>4.6E-6</v>
      </c>
      <c r="O56">
        <f t="shared" si="6"/>
        <v>1.7799999999999999E-4</v>
      </c>
      <c r="P56" s="22">
        <f t="shared" si="1"/>
        <v>0.30434782608695654</v>
      </c>
      <c r="Q56" s="22">
        <f t="shared" si="2"/>
        <v>0.22580645161290322</v>
      </c>
      <c r="R56">
        <f t="shared" si="3"/>
        <v>4.1593548387096773E-5</v>
      </c>
      <c r="S56">
        <f t="shared" si="4"/>
        <v>4.1593548387096773E-8</v>
      </c>
      <c r="T56">
        <f t="shared" si="5"/>
        <v>1.8259999999999999E-4</v>
      </c>
    </row>
    <row r="57" spans="11:20">
      <c r="K57" t="s">
        <v>509</v>
      </c>
      <c r="L57">
        <v>0.43</v>
      </c>
      <c r="M57">
        <v>17.3</v>
      </c>
      <c r="N57">
        <f t="shared" si="7"/>
        <v>4.2999999999999995E-6</v>
      </c>
      <c r="O57">
        <f t="shared" si="6"/>
        <v>1.73E-4</v>
      </c>
      <c r="P57" s="22">
        <f t="shared" si="1"/>
        <v>0.30434782608695654</v>
      </c>
      <c r="Q57" s="22">
        <f t="shared" si="2"/>
        <v>0.22580645161290322</v>
      </c>
      <c r="R57">
        <f t="shared" si="3"/>
        <v>4.0373211781206173E-5</v>
      </c>
      <c r="S57">
        <f t="shared" si="4"/>
        <v>4.037321178120617E-8</v>
      </c>
      <c r="T57">
        <f t="shared" si="5"/>
        <v>1.773E-4</v>
      </c>
    </row>
    <row r="58" spans="11:20">
      <c r="K58" t="s">
        <v>510</v>
      </c>
      <c r="L58">
        <v>0.42</v>
      </c>
      <c r="M58">
        <v>21.2</v>
      </c>
      <c r="N58">
        <f t="shared" si="7"/>
        <v>4.1999999999999996E-6</v>
      </c>
      <c r="O58">
        <f t="shared" si="6"/>
        <v>2.12E-4</v>
      </c>
      <c r="P58" s="22">
        <f t="shared" si="1"/>
        <v>0.30434782608695654</v>
      </c>
      <c r="Q58" s="22">
        <f t="shared" si="2"/>
        <v>0.22580645161290322</v>
      </c>
      <c r="R58">
        <f t="shared" si="3"/>
        <v>4.9149228611500702E-5</v>
      </c>
      <c r="S58">
        <f t="shared" si="4"/>
        <v>4.9149228611500705E-8</v>
      </c>
      <c r="T58">
        <f t="shared" si="5"/>
        <v>2.162E-4</v>
      </c>
    </row>
    <row r="59" spans="11:20">
      <c r="K59" t="s">
        <v>511</v>
      </c>
      <c r="L59">
        <v>0.68</v>
      </c>
      <c r="M59">
        <v>12.7</v>
      </c>
      <c r="N59">
        <f t="shared" si="7"/>
        <v>6.8000000000000001E-6</v>
      </c>
      <c r="O59">
        <f t="shared" si="6"/>
        <v>1.27E-4</v>
      </c>
      <c r="P59" s="22">
        <f t="shared" si="1"/>
        <v>0.30434782608695654</v>
      </c>
      <c r="Q59" s="22">
        <f t="shared" si="2"/>
        <v>0.22580645161290322</v>
      </c>
      <c r="R59">
        <f t="shared" si="3"/>
        <v>3.0746984572230013E-5</v>
      </c>
      <c r="S59">
        <f t="shared" si="4"/>
        <v>3.0746984572230014E-8</v>
      </c>
      <c r="T59">
        <f t="shared" si="5"/>
        <v>1.338E-4</v>
      </c>
    </row>
    <row r="60" spans="11:20">
      <c r="K60" t="s">
        <v>512</v>
      </c>
      <c r="L60">
        <v>0.72</v>
      </c>
      <c r="M60">
        <v>10.3</v>
      </c>
      <c r="N60">
        <f t="shared" si="7"/>
        <v>7.1999999999999997E-6</v>
      </c>
      <c r="O60">
        <f t="shared" si="6"/>
        <v>1.03E-4</v>
      </c>
      <c r="P60" s="22">
        <f t="shared" si="1"/>
        <v>0.30434782608695654</v>
      </c>
      <c r="Q60" s="22">
        <f t="shared" si="2"/>
        <v>0.22580645161290322</v>
      </c>
      <c r="R60" s="52">
        <f t="shared" si="3"/>
        <v>2.544936886395512E-5</v>
      </c>
      <c r="S60">
        <f t="shared" si="4"/>
        <v>2.544936886395512E-8</v>
      </c>
      <c r="T60">
        <f t="shared" si="5"/>
        <v>1.102E-4</v>
      </c>
    </row>
    <row r="62" spans="11:20">
      <c r="M62" t="s">
        <v>497</v>
      </c>
      <c r="N62" t="s">
        <v>513</v>
      </c>
      <c r="O62" t="s">
        <v>514</v>
      </c>
    </row>
    <row r="63" spans="11:20">
      <c r="M63">
        <v>10.3</v>
      </c>
      <c r="N63">
        <f>M63/100/1000</f>
        <v>1.0300000000000001E-4</v>
      </c>
      <c r="O63">
        <f>N63*Q60</f>
        <v>2.3258064516129035E-5</v>
      </c>
    </row>
  </sheetData>
  <hyperlinks>
    <hyperlink ref="D28" r:id="rId1" xr:uid="{53915C74-593E-4DE6-B59E-DAAAB1245C5C}"/>
    <hyperlink ref="D33" r:id="rId2" xr:uid="{556C2584-F8F2-4A9F-9BBF-04BAADE2C667}"/>
    <hyperlink ref="D29" r:id="rId3" xr:uid="{67A3653B-A61D-48E0-A704-84FC0E9FB4D2}"/>
    <hyperlink ref="J15" r:id="rId4" xr:uid="{551ACDA0-0D88-4B7D-A9B6-442272963242}"/>
  </hyperlinks>
  <pageMargins left="0.7" right="0.7" top="0.75" bottom="0.75" header="0.3" footer="0.3"/>
  <pageSetup paperSize="9" orientation="portrait" r:id="rId5"/>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FAE98-5F15-4B57-8E69-A48E163D1341}">
  <dimension ref="B2:T63"/>
  <sheetViews>
    <sheetView workbookViewId="0">
      <selection activeCell="C9" sqref="C9"/>
    </sheetView>
  </sheetViews>
  <sheetFormatPr defaultRowHeight="15"/>
  <cols>
    <col min="2" max="2" width="32.5703125" customWidth="1"/>
    <col min="4" max="6" width="16" customWidth="1"/>
    <col min="7" max="7" width="16.140625" customWidth="1"/>
    <col min="8" max="9" width="14.140625" customWidth="1"/>
    <col min="10" max="10" width="15.140625" customWidth="1"/>
    <col min="14" max="14" width="18.7109375" customWidth="1"/>
    <col min="15" max="15" width="14.42578125" customWidth="1"/>
    <col min="18" max="18" width="20.7109375" customWidth="1"/>
    <col min="19" max="19" width="9.7109375" bestFit="1" customWidth="1"/>
  </cols>
  <sheetData>
    <row r="2" spans="2:10">
      <c r="B2" s="55" t="s">
        <v>515</v>
      </c>
    </row>
    <row r="3" spans="2:10" ht="45">
      <c r="B3" s="62" t="s">
        <v>411</v>
      </c>
      <c r="C3" s="60" t="s">
        <v>430</v>
      </c>
      <c r="D3" s="61" t="s">
        <v>431</v>
      </c>
      <c r="E3" s="61" t="s">
        <v>432</v>
      </c>
      <c r="F3" s="61" t="s">
        <v>433</v>
      </c>
      <c r="G3" s="61" t="s">
        <v>434</v>
      </c>
      <c r="H3" s="61" t="s">
        <v>435</v>
      </c>
      <c r="I3" s="35"/>
    </row>
    <row r="4" spans="2:10">
      <c r="B4" s="57" t="s">
        <v>436</v>
      </c>
      <c r="C4" s="16">
        <v>0</v>
      </c>
      <c r="D4" s="16"/>
      <c r="E4" s="16"/>
      <c r="F4" s="16">
        <v>0</v>
      </c>
      <c r="G4" s="48">
        <f>E40</f>
        <v>55</v>
      </c>
      <c r="H4" s="48">
        <f>(G4/100)*F4*C4</f>
        <v>0</v>
      </c>
    </row>
    <row r="5" spans="2:10">
      <c r="B5" s="57" t="s">
        <v>439</v>
      </c>
      <c r="C5" s="16">
        <v>0</v>
      </c>
      <c r="D5" s="16"/>
      <c r="E5" s="16"/>
      <c r="F5" s="16">
        <v>0</v>
      </c>
      <c r="G5" s="16">
        <v>55</v>
      </c>
      <c r="H5" s="48">
        <f>(G5/100)*F5*C5</f>
        <v>0</v>
      </c>
    </row>
    <row r="6" spans="2:10">
      <c r="B6" s="58" t="s">
        <v>443</v>
      </c>
      <c r="C6" s="16">
        <v>2.5</v>
      </c>
      <c r="D6" s="16"/>
      <c r="E6" s="16"/>
      <c r="F6" s="16">
        <f>AVERAGE('Nitrogen import'!B99:C99)</f>
        <v>160</v>
      </c>
      <c r="G6" s="16">
        <v>50</v>
      </c>
      <c r="H6" s="16">
        <f>F6*(G6/100)*C6</f>
        <v>200</v>
      </c>
      <c r="J6" t="s">
        <v>444</v>
      </c>
    </row>
    <row r="7" spans="2:10">
      <c r="B7" s="70" t="s">
        <v>516</v>
      </c>
      <c r="C7" s="69">
        <v>0.05</v>
      </c>
      <c r="D7" s="16"/>
      <c r="E7" s="16"/>
      <c r="F7" s="16"/>
      <c r="G7" s="16"/>
      <c r="H7" s="16">
        <f>F7*(G7/100)*C7</f>
        <v>0</v>
      </c>
      <c r="J7">
        <v>0.4</v>
      </c>
    </row>
    <row r="8" spans="2:10">
      <c r="B8" s="59" t="s">
        <v>381</v>
      </c>
      <c r="C8" s="16">
        <v>0.1</v>
      </c>
      <c r="D8" s="16"/>
      <c r="E8" s="16"/>
      <c r="F8" s="16">
        <f>AVERAGE('Nitrogen import'!B100:C100)</f>
        <v>225</v>
      </c>
      <c r="G8" s="16">
        <v>15</v>
      </c>
      <c r="H8" s="16">
        <f>F8*(G8/100)*C8</f>
        <v>3.375</v>
      </c>
      <c r="J8">
        <f>J7*H10</f>
        <v>100</v>
      </c>
    </row>
    <row r="9" spans="2:10">
      <c r="B9" s="57" t="s">
        <v>379</v>
      </c>
      <c r="C9" s="16">
        <v>0.05</v>
      </c>
      <c r="D9" s="16"/>
      <c r="E9" s="16"/>
      <c r="F9" s="16">
        <f>AVERAGE('Nitrogen import'!B98:C98)</f>
        <v>191.5</v>
      </c>
      <c r="G9" s="16">
        <v>15</v>
      </c>
      <c r="H9" s="16">
        <f>F9*(G9/100)*C9</f>
        <v>1.43625</v>
      </c>
    </row>
    <row r="10" spans="2:10">
      <c r="B10" s="57" t="s">
        <v>454</v>
      </c>
      <c r="C10" s="16"/>
      <c r="D10" s="16"/>
      <c r="E10" s="16"/>
      <c r="F10" s="16">
        <v>50</v>
      </c>
      <c r="G10" s="16"/>
      <c r="H10" s="16">
        <f>F10*5</f>
        <v>250</v>
      </c>
    </row>
    <row r="11" spans="2:10">
      <c r="B11" s="57" t="s">
        <v>456</v>
      </c>
      <c r="C11" s="16">
        <f>SUM(C4:C9)</f>
        <v>2.6999999999999997</v>
      </c>
      <c r="D11" s="16"/>
      <c r="E11" s="16"/>
      <c r="F11" s="16"/>
      <c r="G11" s="16"/>
      <c r="H11" s="71">
        <f>SUM(H4:H10)</f>
        <v>454.81124999999997</v>
      </c>
    </row>
    <row r="13" spans="2:10" ht="30">
      <c r="B13" s="62" t="s">
        <v>423</v>
      </c>
      <c r="C13" s="61" t="s">
        <v>430</v>
      </c>
      <c r="D13" s="61" t="s">
        <v>457</v>
      </c>
      <c r="E13" s="61" t="s">
        <v>458</v>
      </c>
      <c r="F13" s="61" t="s">
        <v>459</v>
      </c>
      <c r="G13" s="61" t="s">
        <v>460</v>
      </c>
      <c r="H13" s="61" t="s">
        <v>461</v>
      </c>
      <c r="I13" s="35"/>
      <c r="J13" s="35"/>
    </row>
    <row r="14" spans="2:10">
      <c r="B14" s="63" t="s">
        <v>462</v>
      </c>
      <c r="C14" s="16"/>
      <c r="D14" s="16">
        <f>C37</f>
        <v>69.180492709904485</v>
      </c>
      <c r="E14" s="16">
        <f>C35</f>
        <v>10055.304172951232</v>
      </c>
      <c r="F14" s="16"/>
      <c r="G14" s="16">
        <f>C33</f>
        <v>3.12</v>
      </c>
      <c r="H14" s="16">
        <f>C32</f>
        <v>188.23529411764707</v>
      </c>
      <c r="I14" s="22"/>
      <c r="J14" t="s">
        <v>463</v>
      </c>
    </row>
    <row r="15" spans="2:10" ht="17.25" customHeight="1">
      <c r="B15" s="64" t="s">
        <v>464</v>
      </c>
      <c r="C15" s="16"/>
      <c r="D15" s="16"/>
      <c r="E15" s="16"/>
      <c r="F15" s="16"/>
      <c r="G15" s="16"/>
      <c r="H15" s="16"/>
      <c r="I15" s="22"/>
      <c r="J15" s="10" t="s">
        <v>465</v>
      </c>
    </row>
    <row r="16" spans="2:10">
      <c r="B16" s="57" t="s">
        <v>466</v>
      </c>
      <c r="C16" s="16">
        <v>0.2</v>
      </c>
      <c r="D16" s="16"/>
      <c r="E16" s="16"/>
      <c r="F16" s="16">
        <v>15</v>
      </c>
      <c r="G16" s="16">
        <f>'Nitrogen export'!R21</f>
        <v>1.98E-3</v>
      </c>
      <c r="H16" s="16">
        <f>(F16/10)*C16*10000*G16</f>
        <v>5.9400000000000013</v>
      </c>
    </row>
    <row r="17" spans="2:9">
      <c r="B17" s="57" t="s">
        <v>467</v>
      </c>
      <c r="C17" s="16">
        <v>0</v>
      </c>
      <c r="D17" s="16"/>
      <c r="E17" s="16"/>
      <c r="F17" s="16">
        <f>I27*I28</f>
        <v>226</v>
      </c>
      <c r="G17" s="16">
        <f>'Nitrogen export'!R25</f>
        <v>1.3800000000000002E-3</v>
      </c>
      <c r="H17" s="16">
        <f>(F17/10)*C17*10000*G17</f>
        <v>0</v>
      </c>
    </row>
    <row r="18" spans="2:9">
      <c r="B18" s="57" t="s">
        <v>468</v>
      </c>
      <c r="C18" s="16">
        <v>0</v>
      </c>
      <c r="D18" s="16"/>
      <c r="E18" s="16"/>
      <c r="F18" s="16">
        <f>I27/2*I28</f>
        <v>113</v>
      </c>
      <c r="G18" s="16">
        <f>'Nitrogen export'!R32</f>
        <v>7.1000000000000004E-3</v>
      </c>
      <c r="H18" s="16">
        <f>(F18/10)*C18*10000*G18</f>
        <v>0</v>
      </c>
    </row>
    <row r="19" spans="2:9">
      <c r="B19" s="57" t="s">
        <v>469</v>
      </c>
      <c r="C19" s="16">
        <v>2</v>
      </c>
      <c r="D19" s="16"/>
      <c r="E19" s="16"/>
      <c r="F19" s="16">
        <f>2000/1000</f>
        <v>2</v>
      </c>
      <c r="G19" s="16">
        <f>'Nitrogen export'!R32</f>
        <v>7.1000000000000004E-3</v>
      </c>
      <c r="H19" s="16">
        <f>(F19/10)*C19*10000*G19</f>
        <v>28.400000000000002</v>
      </c>
    </row>
    <row r="20" spans="2:9">
      <c r="B20" s="57" t="s">
        <v>470</v>
      </c>
      <c r="C20" s="16">
        <v>0.1</v>
      </c>
      <c r="D20" s="16"/>
      <c r="E20" s="16"/>
      <c r="F20" s="16">
        <f>2.5*10</f>
        <v>25</v>
      </c>
      <c r="G20" s="16">
        <v>3.2000000000000002E-3</v>
      </c>
      <c r="H20" s="16">
        <f>(F20/10)*C20*10000*G20</f>
        <v>8</v>
      </c>
    </row>
    <row r="21" spans="2:9">
      <c r="B21" s="57" t="s">
        <v>456</v>
      </c>
      <c r="C21" s="16">
        <f>SUM(C15:C20)</f>
        <v>2.3000000000000003</v>
      </c>
      <c r="D21" s="16"/>
      <c r="E21" s="16"/>
      <c r="F21" s="16"/>
      <c r="G21" s="16"/>
      <c r="H21" s="67">
        <f>SUM(H14:H20)</f>
        <v>230.57529411764708</v>
      </c>
    </row>
    <row r="23" spans="2:9">
      <c r="B23" s="66" t="s">
        <v>428</v>
      </c>
      <c r="C23" s="16">
        <f>SUM(C4:C10,C14:C20)</f>
        <v>5</v>
      </c>
      <c r="D23" s="16"/>
      <c r="E23" s="16"/>
      <c r="F23" s="16"/>
      <c r="G23" s="16"/>
      <c r="H23" s="67">
        <f>H11-H21</f>
        <v>224.2359558823529</v>
      </c>
    </row>
    <row r="25" spans="2:9">
      <c r="B25" s="36" t="s">
        <v>471</v>
      </c>
    </row>
    <row r="26" spans="2:9">
      <c r="B26" t="s">
        <v>472</v>
      </c>
      <c r="C26">
        <f>'Nitrogen export'!J145</f>
        <v>50.392889000000018</v>
      </c>
    </row>
    <row r="27" spans="2:9">
      <c r="B27" t="s">
        <v>473</v>
      </c>
      <c r="C27">
        <f>60</f>
        <v>60</v>
      </c>
      <c r="H27" t="s">
        <v>474</v>
      </c>
      <c r="I27">
        <v>226</v>
      </c>
    </row>
    <row r="28" spans="2:9">
      <c r="B28" t="s">
        <v>475</v>
      </c>
      <c r="C28" s="37">
        <v>35</v>
      </c>
      <c r="D28" s="10" t="s">
        <v>476</v>
      </c>
      <c r="H28" t="s">
        <v>477</v>
      </c>
      <c r="I28">
        <v>1</v>
      </c>
    </row>
    <row r="29" spans="2:9">
      <c r="B29" t="s">
        <v>478</v>
      </c>
      <c r="C29" s="37">
        <v>50</v>
      </c>
      <c r="D29" s="10" t="s">
        <v>479</v>
      </c>
    </row>
    <row r="30" spans="2:9">
      <c r="B30" t="s">
        <v>480</v>
      </c>
      <c r="C30" s="37">
        <f>AVERAGE(C28:C29)</f>
        <v>42.5</v>
      </c>
      <c r="D30" s="10"/>
    </row>
    <row r="31" spans="2:9">
      <c r="B31" t="s">
        <v>482</v>
      </c>
      <c r="C31">
        <f>C27/C30*100</f>
        <v>141.1764705882353</v>
      </c>
    </row>
    <row r="32" spans="2:9">
      <c r="B32" t="s">
        <v>484</v>
      </c>
      <c r="C32">
        <f>C31/75*100</f>
        <v>188.23529411764707</v>
      </c>
    </row>
    <row r="33" spans="2:5">
      <c r="B33" s="38" t="s">
        <v>486</v>
      </c>
      <c r="C33">
        <v>3.12</v>
      </c>
      <c r="D33" s="10" t="s">
        <v>465</v>
      </c>
    </row>
    <row r="34" spans="2:5">
      <c r="B34" t="s">
        <v>488</v>
      </c>
      <c r="C34">
        <f>C32/C33*100</f>
        <v>6033.1825037707385</v>
      </c>
    </row>
    <row r="35" spans="2:5">
      <c r="B35" t="s">
        <v>489</v>
      </c>
      <c r="C35">
        <f>C34/60*100</f>
        <v>10055.304172951232</v>
      </c>
    </row>
    <row r="36" spans="2:5">
      <c r="B36" t="s">
        <v>490</v>
      </c>
      <c r="C36">
        <f>C34*'Nitrogen import'!B18</f>
        <v>41.508295625942687</v>
      </c>
    </row>
    <row r="37" spans="2:5">
      <c r="B37" t="s">
        <v>491</v>
      </c>
      <c r="C37">
        <f>C35*'Nitrogen import'!B18</f>
        <v>69.180492709904485</v>
      </c>
    </row>
    <row r="38" spans="2:5">
      <c r="C38" t="s">
        <v>373</v>
      </c>
      <c r="D38" t="s">
        <v>374</v>
      </c>
      <c r="E38" t="s">
        <v>492</v>
      </c>
    </row>
    <row r="39" spans="2:5">
      <c r="B39" t="s">
        <v>493</v>
      </c>
      <c r="C39">
        <v>100</v>
      </c>
      <c r="D39">
        <v>300</v>
      </c>
      <c r="E39">
        <f>AVERAGE(C39:D39)</f>
        <v>200</v>
      </c>
    </row>
    <row r="40" spans="2:5">
      <c r="B40" t="s">
        <v>494</v>
      </c>
      <c r="C40">
        <v>20</v>
      </c>
      <c r="D40">
        <v>90</v>
      </c>
      <c r="E40">
        <f>AVERAGE(C40:D40)</f>
        <v>55</v>
      </c>
    </row>
    <row r="41" spans="2:5">
      <c r="B41" t="s">
        <v>495</v>
      </c>
      <c r="C41">
        <v>0.2</v>
      </c>
      <c r="D41">
        <v>2</v>
      </c>
      <c r="E41">
        <f>AVERAGE(C41:D41)</f>
        <v>1.1000000000000001</v>
      </c>
    </row>
    <row r="51" spans="11:20">
      <c r="L51" t="s">
        <v>496</v>
      </c>
      <c r="M51" t="s">
        <v>497</v>
      </c>
      <c r="N51" t="s">
        <v>498</v>
      </c>
      <c r="O51" t="s">
        <v>499</v>
      </c>
      <c r="P51" t="s">
        <v>500</v>
      </c>
      <c r="Q51" t="s">
        <v>501</v>
      </c>
      <c r="R51" t="s">
        <v>502</v>
      </c>
      <c r="S51" t="s">
        <v>503</v>
      </c>
      <c r="T51" t="s">
        <v>502</v>
      </c>
    </row>
    <row r="52" spans="11:20">
      <c r="K52" t="s">
        <v>504</v>
      </c>
      <c r="P52" s="22">
        <f t="shared" ref="P52:P60" si="0">14/(14+2*16)</f>
        <v>0.30434782608695654</v>
      </c>
      <c r="Q52" s="22">
        <f t="shared" ref="Q52:Q60" si="1">14/(14+3*16)</f>
        <v>0.22580645161290322</v>
      </c>
      <c r="S52" s="22"/>
    </row>
    <row r="53" spans="11:20">
      <c r="K53" t="s">
        <v>505</v>
      </c>
      <c r="L53">
        <v>0.61</v>
      </c>
      <c r="M53">
        <v>59.6</v>
      </c>
      <c r="N53">
        <f>L53/1000/100</f>
        <v>6.1E-6</v>
      </c>
      <c r="O53">
        <f>M53/1000/100</f>
        <v>5.9599999999999996E-4</v>
      </c>
      <c r="P53" s="22">
        <f t="shared" si="0"/>
        <v>0.30434782608695654</v>
      </c>
      <c r="Q53" s="22">
        <f t="shared" si="1"/>
        <v>0.22580645161290322</v>
      </c>
      <c r="R53">
        <f t="shared" ref="R53:R60" si="2">N53*P53+Q53*O53</f>
        <v>1.3643716690042075E-4</v>
      </c>
      <c r="S53">
        <f t="shared" ref="S53:S60" si="3">R53/1000</f>
        <v>1.3643716690042076E-7</v>
      </c>
      <c r="T53">
        <f t="shared" ref="T53:T60" si="4">N53+O53</f>
        <v>6.0209999999999994E-4</v>
      </c>
    </row>
    <row r="54" spans="11:20">
      <c r="K54" t="s">
        <v>506</v>
      </c>
      <c r="L54">
        <v>0.17</v>
      </c>
      <c r="M54">
        <v>28.5</v>
      </c>
      <c r="O54">
        <f t="shared" ref="O54:O60" si="5">M54/1000/100</f>
        <v>2.8499999999999999E-4</v>
      </c>
      <c r="P54" s="22">
        <f t="shared" si="0"/>
        <v>0.30434782608695654</v>
      </c>
      <c r="Q54" s="22">
        <f t="shared" si="1"/>
        <v>0.22580645161290322</v>
      </c>
      <c r="R54">
        <f t="shared" si="2"/>
        <v>6.435483870967742E-5</v>
      </c>
      <c r="S54">
        <f t="shared" si="3"/>
        <v>6.4354838709677414E-8</v>
      </c>
      <c r="T54">
        <f t="shared" si="4"/>
        <v>2.8499999999999999E-4</v>
      </c>
    </row>
    <row r="55" spans="11:20">
      <c r="K55" t="s">
        <v>507</v>
      </c>
      <c r="L55">
        <v>0.51</v>
      </c>
      <c r="M55">
        <v>10.3</v>
      </c>
      <c r="N55">
        <f t="shared" ref="N55:N60" si="6">L55/1000/100</f>
        <v>5.1000000000000003E-6</v>
      </c>
      <c r="O55">
        <f t="shared" si="5"/>
        <v>1.03E-4</v>
      </c>
      <c r="P55" s="22">
        <f t="shared" si="0"/>
        <v>0.30434782608695654</v>
      </c>
      <c r="Q55" s="22">
        <f t="shared" si="1"/>
        <v>0.22580645161290322</v>
      </c>
      <c r="R55">
        <f t="shared" si="2"/>
        <v>2.4810238429172511E-5</v>
      </c>
      <c r="S55">
        <f t="shared" si="3"/>
        <v>2.4810238429172511E-8</v>
      </c>
      <c r="T55">
        <f t="shared" si="4"/>
        <v>1.081E-4</v>
      </c>
    </row>
    <row r="56" spans="11:20">
      <c r="K56" t="s">
        <v>508</v>
      </c>
      <c r="L56">
        <v>0.46</v>
      </c>
      <c r="M56">
        <v>17.8</v>
      </c>
      <c r="N56">
        <f t="shared" si="6"/>
        <v>4.6E-6</v>
      </c>
      <c r="O56">
        <f t="shared" si="5"/>
        <v>1.7799999999999999E-4</v>
      </c>
      <c r="P56" s="22">
        <f t="shared" si="0"/>
        <v>0.30434782608695654</v>
      </c>
      <c r="Q56" s="22">
        <f t="shared" si="1"/>
        <v>0.22580645161290322</v>
      </c>
      <c r="R56">
        <f t="shared" si="2"/>
        <v>4.1593548387096773E-5</v>
      </c>
      <c r="S56">
        <f t="shared" si="3"/>
        <v>4.1593548387096773E-8</v>
      </c>
      <c r="T56">
        <f t="shared" si="4"/>
        <v>1.8259999999999999E-4</v>
      </c>
    </row>
    <row r="57" spans="11:20">
      <c r="K57" t="s">
        <v>509</v>
      </c>
      <c r="L57">
        <v>0.43</v>
      </c>
      <c r="M57">
        <v>17.3</v>
      </c>
      <c r="N57">
        <f t="shared" si="6"/>
        <v>4.2999999999999995E-6</v>
      </c>
      <c r="O57">
        <f t="shared" si="5"/>
        <v>1.73E-4</v>
      </c>
      <c r="P57" s="22">
        <f t="shared" si="0"/>
        <v>0.30434782608695654</v>
      </c>
      <c r="Q57" s="22">
        <f t="shared" si="1"/>
        <v>0.22580645161290322</v>
      </c>
      <c r="R57">
        <f t="shared" si="2"/>
        <v>4.0373211781206173E-5</v>
      </c>
      <c r="S57">
        <f t="shared" si="3"/>
        <v>4.037321178120617E-8</v>
      </c>
      <c r="T57">
        <f t="shared" si="4"/>
        <v>1.773E-4</v>
      </c>
    </row>
    <row r="58" spans="11:20">
      <c r="K58" t="s">
        <v>510</v>
      </c>
      <c r="L58">
        <v>0.42</v>
      </c>
      <c r="M58">
        <v>21.2</v>
      </c>
      <c r="N58">
        <f t="shared" si="6"/>
        <v>4.1999999999999996E-6</v>
      </c>
      <c r="O58">
        <f t="shared" si="5"/>
        <v>2.12E-4</v>
      </c>
      <c r="P58" s="22">
        <f t="shared" si="0"/>
        <v>0.30434782608695654</v>
      </c>
      <c r="Q58" s="22">
        <f t="shared" si="1"/>
        <v>0.22580645161290322</v>
      </c>
      <c r="R58">
        <f t="shared" si="2"/>
        <v>4.9149228611500702E-5</v>
      </c>
      <c r="S58">
        <f t="shared" si="3"/>
        <v>4.9149228611500705E-8</v>
      </c>
      <c r="T58">
        <f t="shared" si="4"/>
        <v>2.162E-4</v>
      </c>
    </row>
    <row r="59" spans="11:20">
      <c r="K59" t="s">
        <v>511</v>
      </c>
      <c r="L59">
        <v>0.68</v>
      </c>
      <c r="M59">
        <v>12.7</v>
      </c>
      <c r="N59">
        <f t="shared" si="6"/>
        <v>6.8000000000000001E-6</v>
      </c>
      <c r="O59">
        <f t="shared" si="5"/>
        <v>1.27E-4</v>
      </c>
      <c r="P59" s="22">
        <f t="shared" si="0"/>
        <v>0.30434782608695654</v>
      </c>
      <c r="Q59" s="22">
        <f t="shared" si="1"/>
        <v>0.22580645161290322</v>
      </c>
      <c r="R59">
        <f t="shared" si="2"/>
        <v>3.0746984572230013E-5</v>
      </c>
      <c r="S59">
        <f t="shared" si="3"/>
        <v>3.0746984572230014E-8</v>
      </c>
      <c r="T59">
        <f t="shared" si="4"/>
        <v>1.338E-4</v>
      </c>
    </row>
    <row r="60" spans="11:20">
      <c r="K60" t="s">
        <v>512</v>
      </c>
      <c r="L60">
        <v>0.72</v>
      </c>
      <c r="M60">
        <v>10.3</v>
      </c>
      <c r="N60">
        <f t="shared" si="6"/>
        <v>7.1999999999999997E-6</v>
      </c>
      <c r="O60">
        <f t="shared" si="5"/>
        <v>1.03E-4</v>
      </c>
      <c r="P60" s="22">
        <f t="shared" si="0"/>
        <v>0.30434782608695654</v>
      </c>
      <c r="Q60" s="22">
        <f t="shared" si="1"/>
        <v>0.22580645161290322</v>
      </c>
      <c r="R60" s="52">
        <f t="shared" si="2"/>
        <v>2.544936886395512E-5</v>
      </c>
      <c r="S60">
        <f t="shared" si="3"/>
        <v>2.544936886395512E-8</v>
      </c>
      <c r="T60">
        <f t="shared" si="4"/>
        <v>1.102E-4</v>
      </c>
    </row>
    <row r="62" spans="11:20">
      <c r="M62" t="s">
        <v>497</v>
      </c>
      <c r="N62" t="s">
        <v>513</v>
      </c>
      <c r="O62" t="s">
        <v>514</v>
      </c>
    </row>
    <row r="63" spans="11:20">
      <c r="M63">
        <v>10.3</v>
      </c>
      <c r="N63">
        <f>M63/100/1000</f>
        <v>1.0300000000000001E-4</v>
      </c>
      <c r="O63">
        <f>N63*Q60</f>
        <v>2.3258064516129035E-5</v>
      </c>
    </row>
  </sheetData>
  <hyperlinks>
    <hyperlink ref="D28" r:id="rId1" xr:uid="{243C9DD3-192A-46D9-B38F-25FCB0E57D0F}"/>
    <hyperlink ref="D33" r:id="rId2" xr:uid="{CD6B65C0-FCF0-4658-825C-A3129B950AD6}"/>
    <hyperlink ref="D29" r:id="rId3" xr:uid="{D65452E3-093C-45DF-BFC2-E86279EAF114}"/>
    <hyperlink ref="J15" r:id="rId4" xr:uid="{6EC42478-BFDA-46B0-B46E-1DB61E268EE1}"/>
  </hyperlinks>
  <pageMargins left="0.7" right="0.7" top="0.75" bottom="0.75" header="0.3" footer="0.3"/>
  <drawing r:id="rId5"/>
  <legacyDrawing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70A72-9148-429B-9805-7EAA14F82F6B}">
  <dimension ref="B2:T63"/>
  <sheetViews>
    <sheetView workbookViewId="0">
      <selection activeCell="C9" sqref="C9"/>
    </sheetView>
  </sheetViews>
  <sheetFormatPr defaultRowHeight="15"/>
  <cols>
    <col min="2" max="2" width="32.5703125" customWidth="1"/>
    <col min="4" max="6" width="16" customWidth="1"/>
    <col min="7" max="7" width="16.140625" customWidth="1"/>
    <col min="8" max="9" width="14.140625" customWidth="1"/>
    <col min="10" max="10" width="15.140625" customWidth="1"/>
    <col min="14" max="14" width="18.7109375" customWidth="1"/>
    <col min="15" max="15" width="14.42578125" customWidth="1"/>
    <col min="18" max="18" width="20.7109375" customWidth="1"/>
    <col min="19" max="19" width="9.7109375" bestFit="1" customWidth="1"/>
  </cols>
  <sheetData>
    <row r="2" spans="2:10">
      <c r="B2" s="55" t="s">
        <v>517</v>
      </c>
    </row>
    <row r="3" spans="2:10" ht="45">
      <c r="B3" s="62" t="s">
        <v>411</v>
      </c>
      <c r="C3" s="60" t="s">
        <v>430</v>
      </c>
      <c r="D3" s="61" t="s">
        <v>431</v>
      </c>
      <c r="E3" s="61" t="s">
        <v>432</v>
      </c>
      <c r="F3" s="61" t="s">
        <v>433</v>
      </c>
      <c r="G3" s="61" t="s">
        <v>434</v>
      </c>
      <c r="H3" s="61" t="s">
        <v>435</v>
      </c>
      <c r="I3" s="35"/>
    </row>
    <row r="4" spans="2:10">
      <c r="B4" s="57" t="s">
        <v>436</v>
      </c>
      <c r="C4" s="16">
        <v>1.5</v>
      </c>
      <c r="D4" s="16"/>
      <c r="E4" s="16"/>
      <c r="F4" s="16">
        <f>E39</f>
        <v>200</v>
      </c>
      <c r="G4" s="48">
        <f>E40</f>
        <v>55</v>
      </c>
      <c r="H4" s="48">
        <f>(G4/100)*F4*C4</f>
        <v>165.00000000000003</v>
      </c>
      <c r="I4" s="1">
        <f>SUM(H4:H5)</f>
        <v>220.00000000000003</v>
      </c>
    </row>
    <row r="5" spans="2:10">
      <c r="B5" s="57" t="s">
        <v>439</v>
      </c>
      <c r="C5" s="16">
        <v>0.5</v>
      </c>
      <c r="D5" s="16"/>
      <c r="E5" s="16"/>
      <c r="F5" s="16">
        <v>200</v>
      </c>
      <c r="G5" s="16">
        <v>55</v>
      </c>
      <c r="H5" s="48">
        <f>(G5/100)*F5*C5</f>
        <v>55.000000000000007</v>
      </c>
    </row>
    <row r="6" spans="2:10">
      <c r="B6" s="57" t="s">
        <v>443</v>
      </c>
      <c r="C6" s="16">
        <v>1</v>
      </c>
      <c r="D6" s="16"/>
      <c r="E6" s="16"/>
      <c r="F6" s="16">
        <f>AVERAGE('Nitrogen import'!B99:C99)</f>
        <v>160</v>
      </c>
      <c r="G6" s="16">
        <v>50</v>
      </c>
      <c r="H6" s="16">
        <f>F6*(G6/100)*C6</f>
        <v>80</v>
      </c>
      <c r="J6" t="s">
        <v>444</v>
      </c>
    </row>
    <row r="7" spans="2:10">
      <c r="B7" s="57" t="s">
        <v>516</v>
      </c>
      <c r="C7" s="16">
        <v>1</v>
      </c>
      <c r="D7" s="16"/>
      <c r="E7" s="16"/>
      <c r="F7" s="16"/>
      <c r="G7" s="16"/>
      <c r="H7" s="16">
        <f>F7*(G7/100)*C7</f>
        <v>0</v>
      </c>
      <c r="J7">
        <v>0.4</v>
      </c>
    </row>
    <row r="8" spans="2:10">
      <c r="B8" s="57" t="s">
        <v>381</v>
      </c>
      <c r="C8" s="16">
        <v>0</v>
      </c>
      <c r="D8" s="16"/>
      <c r="E8" s="16"/>
      <c r="F8" s="16">
        <f>AVERAGE('Nitrogen import'!B100:C100)</f>
        <v>225</v>
      </c>
      <c r="G8" s="16">
        <v>15</v>
      </c>
      <c r="H8" s="16">
        <f>F8*(G8/100)*C8</f>
        <v>0</v>
      </c>
      <c r="J8">
        <f>J7*H10</f>
        <v>100</v>
      </c>
    </row>
    <row r="9" spans="2:10">
      <c r="B9" s="57" t="s">
        <v>379</v>
      </c>
      <c r="C9" s="16">
        <v>0.1</v>
      </c>
      <c r="D9" s="16"/>
      <c r="E9" s="16"/>
      <c r="F9" s="16">
        <f>AVERAGE('Nitrogen import'!B98:C98)</f>
        <v>191.5</v>
      </c>
      <c r="G9" s="16">
        <v>15</v>
      </c>
      <c r="H9" s="16">
        <f>F9*(G9/100)*C9</f>
        <v>2.8725000000000001</v>
      </c>
    </row>
    <row r="10" spans="2:10">
      <c r="B10" s="57" t="s">
        <v>454</v>
      </c>
      <c r="C10" s="16"/>
      <c r="D10" s="16"/>
      <c r="E10" s="16"/>
      <c r="F10" s="16">
        <v>50</v>
      </c>
      <c r="G10" s="16"/>
      <c r="H10" s="16">
        <f>F10*5</f>
        <v>250</v>
      </c>
    </row>
    <row r="11" spans="2:10">
      <c r="B11" s="57" t="s">
        <v>456</v>
      </c>
      <c r="C11" s="16">
        <f>SUM(C4:C9)</f>
        <v>4.0999999999999996</v>
      </c>
      <c r="D11" s="16"/>
      <c r="E11" s="16"/>
      <c r="F11" s="16"/>
      <c r="G11" s="16"/>
      <c r="H11" s="71">
        <f>SUM(H4:H10)</f>
        <v>552.87249999999995</v>
      </c>
    </row>
    <row r="13" spans="2:10" ht="30">
      <c r="B13" s="62" t="s">
        <v>423</v>
      </c>
      <c r="C13" s="61" t="s">
        <v>430</v>
      </c>
      <c r="D13" s="61" t="s">
        <v>457</v>
      </c>
      <c r="E13" s="61" t="s">
        <v>458</v>
      </c>
      <c r="F13" s="61" t="s">
        <v>459</v>
      </c>
      <c r="G13" s="61" t="s">
        <v>460</v>
      </c>
      <c r="H13" s="61" t="s">
        <v>461</v>
      </c>
      <c r="I13" s="35"/>
      <c r="J13" s="35"/>
    </row>
    <row r="14" spans="2:10">
      <c r="B14" s="63" t="s">
        <v>462</v>
      </c>
      <c r="C14" s="16"/>
      <c r="D14" s="16">
        <f>C37</f>
        <v>69.180492709904485</v>
      </c>
      <c r="E14" s="16">
        <f>C35</f>
        <v>10055.304172951232</v>
      </c>
      <c r="F14" s="16"/>
      <c r="G14" s="16">
        <f>C33</f>
        <v>3.12</v>
      </c>
      <c r="H14" s="16">
        <f>C32</f>
        <v>188.23529411764707</v>
      </c>
      <c r="I14" s="22"/>
      <c r="J14" t="s">
        <v>463</v>
      </c>
    </row>
    <row r="15" spans="2:10" ht="17.25" customHeight="1">
      <c r="B15" s="64" t="s">
        <v>464</v>
      </c>
      <c r="C15" s="16"/>
      <c r="D15" s="16"/>
      <c r="E15" s="16"/>
      <c r="F15" s="16"/>
      <c r="G15" s="16"/>
      <c r="H15" s="16"/>
      <c r="I15" s="22"/>
      <c r="J15" s="10" t="s">
        <v>465</v>
      </c>
    </row>
    <row r="16" spans="2:10">
      <c r="B16" s="57" t="s">
        <v>466</v>
      </c>
      <c r="C16" s="16">
        <v>0.2</v>
      </c>
      <c r="D16" s="16"/>
      <c r="E16" s="16"/>
      <c r="F16" s="16">
        <v>15</v>
      </c>
      <c r="G16" s="16">
        <f>'Nitrogen export'!R21</f>
        <v>1.98E-3</v>
      </c>
      <c r="H16" s="16">
        <f>(F16/10)*C16*10000*G16</f>
        <v>5.9400000000000013</v>
      </c>
    </row>
    <row r="17" spans="2:9">
      <c r="B17" s="57" t="s">
        <v>467</v>
      </c>
      <c r="C17" s="16">
        <v>0.3</v>
      </c>
      <c r="D17" s="16"/>
      <c r="E17" s="16"/>
      <c r="F17" s="16">
        <f>I27*I28</f>
        <v>226</v>
      </c>
      <c r="G17" s="16">
        <f>'Nitrogen export'!R25</f>
        <v>1.3800000000000002E-3</v>
      </c>
      <c r="H17" s="16">
        <f>(F17/10)*C17*10000*G17</f>
        <v>93.564000000000007</v>
      </c>
    </row>
    <row r="18" spans="2:9">
      <c r="B18" s="57" t="s">
        <v>468</v>
      </c>
      <c r="C18" s="16">
        <v>0.3</v>
      </c>
      <c r="D18" s="16"/>
      <c r="E18" s="16"/>
      <c r="F18" s="16">
        <f>I27/2*I28</f>
        <v>113</v>
      </c>
      <c r="G18" s="16">
        <f>'Nitrogen export'!R32</f>
        <v>7.1000000000000004E-3</v>
      </c>
      <c r="H18" s="16">
        <f>(F18/10)*C18*10000*G18</f>
        <v>240.69000000000003</v>
      </c>
      <c r="I18">
        <f>SUM(H17:H18)</f>
        <v>334.25400000000002</v>
      </c>
    </row>
    <row r="19" spans="2:9">
      <c r="B19" s="57" t="s">
        <v>469</v>
      </c>
      <c r="C19" s="16">
        <v>1</v>
      </c>
      <c r="D19" s="16"/>
      <c r="E19" s="16"/>
      <c r="F19" s="16">
        <f>2000/1000</f>
        <v>2</v>
      </c>
      <c r="G19" s="16">
        <f>'Nitrogen export'!R32</f>
        <v>7.1000000000000004E-3</v>
      </c>
      <c r="H19" s="16">
        <f>(F19/10)*C19*10000*G19</f>
        <v>14.200000000000001</v>
      </c>
    </row>
    <row r="20" spans="2:9">
      <c r="B20" s="57" t="s">
        <v>470</v>
      </c>
      <c r="C20" s="16">
        <v>0</v>
      </c>
      <c r="D20" s="16"/>
      <c r="E20" s="16"/>
      <c r="F20" s="16">
        <f>2.5*10</f>
        <v>25</v>
      </c>
      <c r="G20" s="16">
        <v>3.2000000000000002E-3</v>
      </c>
      <c r="H20" s="16">
        <f>(F20/10)*C20*10000*G20</f>
        <v>0</v>
      </c>
    </row>
    <row r="21" spans="2:9">
      <c r="B21" s="57" t="s">
        <v>456</v>
      </c>
      <c r="C21" s="16">
        <f>SUM(C15:C20)</f>
        <v>1.8</v>
      </c>
      <c r="D21" s="16"/>
      <c r="E21" s="16"/>
      <c r="F21" s="16"/>
      <c r="G21" s="16"/>
      <c r="H21" s="67">
        <f>SUM(H14:H20)</f>
        <v>542.62929411764719</v>
      </c>
    </row>
    <row r="23" spans="2:9">
      <c r="B23" s="57" t="s">
        <v>428</v>
      </c>
      <c r="C23" s="16">
        <f>SUM(C4:C10,C14:C20)</f>
        <v>5.8999999999999995</v>
      </c>
      <c r="D23" s="16"/>
      <c r="E23" s="16"/>
      <c r="F23" s="16"/>
      <c r="G23" s="16"/>
      <c r="H23" s="67">
        <f>H11-H21</f>
        <v>10.243205882352754</v>
      </c>
    </row>
    <row r="25" spans="2:9">
      <c r="B25" s="36" t="s">
        <v>471</v>
      </c>
    </row>
    <row r="26" spans="2:9">
      <c r="B26" t="s">
        <v>472</v>
      </c>
      <c r="C26">
        <f>'Nitrogen export'!J145</f>
        <v>50.392889000000018</v>
      </c>
    </row>
    <row r="27" spans="2:9">
      <c r="B27" t="s">
        <v>473</v>
      </c>
      <c r="C27">
        <f>60</f>
        <v>60</v>
      </c>
      <c r="H27" t="s">
        <v>474</v>
      </c>
      <c r="I27">
        <v>226</v>
      </c>
    </row>
    <row r="28" spans="2:9">
      <c r="B28" t="s">
        <v>475</v>
      </c>
      <c r="C28" s="37">
        <v>35</v>
      </c>
      <c r="D28" s="10" t="s">
        <v>476</v>
      </c>
      <c r="H28" t="s">
        <v>477</v>
      </c>
      <c r="I28">
        <v>1</v>
      </c>
    </row>
    <row r="29" spans="2:9">
      <c r="B29" t="s">
        <v>478</v>
      </c>
      <c r="C29" s="37">
        <v>50</v>
      </c>
      <c r="D29" s="10" t="s">
        <v>479</v>
      </c>
    </row>
    <row r="30" spans="2:9">
      <c r="B30" t="s">
        <v>480</v>
      </c>
      <c r="C30" s="37">
        <f>AVERAGE(C28:C29)</f>
        <v>42.5</v>
      </c>
      <c r="D30" s="10"/>
    </row>
    <row r="31" spans="2:9">
      <c r="B31" t="s">
        <v>482</v>
      </c>
      <c r="C31">
        <f>C27/C30*100</f>
        <v>141.1764705882353</v>
      </c>
    </row>
    <row r="32" spans="2:9">
      <c r="B32" t="s">
        <v>484</v>
      </c>
      <c r="C32">
        <f>C31/75*100</f>
        <v>188.23529411764707</v>
      </c>
    </row>
    <row r="33" spans="2:5">
      <c r="B33" s="38" t="s">
        <v>486</v>
      </c>
      <c r="C33">
        <v>3.12</v>
      </c>
      <c r="D33" s="10" t="s">
        <v>465</v>
      </c>
    </row>
    <row r="34" spans="2:5">
      <c r="B34" t="s">
        <v>488</v>
      </c>
      <c r="C34">
        <f>C32/C33*100</f>
        <v>6033.1825037707385</v>
      </c>
    </row>
    <row r="35" spans="2:5">
      <c r="B35" t="s">
        <v>489</v>
      </c>
      <c r="C35">
        <f>C34/60*100</f>
        <v>10055.304172951232</v>
      </c>
    </row>
    <row r="36" spans="2:5">
      <c r="B36" t="s">
        <v>490</v>
      </c>
      <c r="C36">
        <f>C34*'Nitrogen import'!B18</f>
        <v>41.508295625942687</v>
      </c>
    </row>
    <row r="37" spans="2:5">
      <c r="B37" t="s">
        <v>491</v>
      </c>
      <c r="C37">
        <f>C35*'Nitrogen import'!B18</f>
        <v>69.180492709904485</v>
      </c>
    </row>
    <row r="38" spans="2:5">
      <c r="C38" t="s">
        <v>373</v>
      </c>
      <c r="D38" t="s">
        <v>374</v>
      </c>
      <c r="E38" t="s">
        <v>492</v>
      </c>
    </row>
    <row r="39" spans="2:5">
      <c r="B39" t="s">
        <v>493</v>
      </c>
      <c r="C39">
        <v>100</v>
      </c>
      <c r="D39">
        <v>300</v>
      </c>
      <c r="E39">
        <f>AVERAGE(C39:D39)</f>
        <v>200</v>
      </c>
    </row>
    <row r="40" spans="2:5">
      <c r="B40" t="s">
        <v>494</v>
      </c>
      <c r="C40">
        <v>20</v>
      </c>
      <c r="D40">
        <v>90</v>
      </c>
      <c r="E40">
        <f>AVERAGE(C40:D40)</f>
        <v>55</v>
      </c>
    </row>
    <row r="41" spans="2:5">
      <c r="B41" t="s">
        <v>495</v>
      </c>
      <c r="C41">
        <v>0.2</v>
      </c>
      <c r="D41">
        <v>2</v>
      </c>
      <c r="E41">
        <f>AVERAGE(C41:D41)</f>
        <v>1.1000000000000001</v>
      </c>
    </row>
    <row r="51" spans="11:20">
      <c r="L51" t="s">
        <v>496</v>
      </c>
      <c r="M51" t="s">
        <v>497</v>
      </c>
      <c r="N51" t="s">
        <v>498</v>
      </c>
      <c r="O51" t="s">
        <v>499</v>
      </c>
      <c r="P51" t="s">
        <v>500</v>
      </c>
      <c r="Q51" t="s">
        <v>501</v>
      </c>
      <c r="R51" t="s">
        <v>502</v>
      </c>
      <c r="S51" t="s">
        <v>503</v>
      </c>
      <c r="T51" t="s">
        <v>502</v>
      </c>
    </row>
    <row r="52" spans="11:20">
      <c r="K52" t="s">
        <v>504</v>
      </c>
      <c r="P52" s="22">
        <f t="shared" ref="P52:P60" si="0">14/(14+2*16)</f>
        <v>0.30434782608695654</v>
      </c>
      <c r="Q52" s="22">
        <f t="shared" ref="Q52:Q60" si="1">14/(14+3*16)</f>
        <v>0.22580645161290322</v>
      </c>
      <c r="S52" s="22"/>
    </row>
    <row r="53" spans="11:20">
      <c r="K53" t="s">
        <v>505</v>
      </c>
      <c r="L53">
        <v>0.61</v>
      </c>
      <c r="M53">
        <v>59.6</v>
      </c>
      <c r="N53">
        <f>L53/1000/100</f>
        <v>6.1E-6</v>
      </c>
      <c r="O53">
        <f>M53/1000/100</f>
        <v>5.9599999999999996E-4</v>
      </c>
      <c r="P53" s="22">
        <f t="shared" si="0"/>
        <v>0.30434782608695654</v>
      </c>
      <c r="Q53" s="22">
        <f t="shared" si="1"/>
        <v>0.22580645161290322</v>
      </c>
      <c r="R53">
        <f t="shared" ref="R53:R60" si="2">N53*P53+Q53*O53</f>
        <v>1.3643716690042075E-4</v>
      </c>
      <c r="S53">
        <f t="shared" ref="S53:S60" si="3">R53/1000</f>
        <v>1.3643716690042076E-7</v>
      </c>
      <c r="T53">
        <f t="shared" ref="T53:T60" si="4">N53+O53</f>
        <v>6.0209999999999994E-4</v>
      </c>
    </row>
    <row r="54" spans="11:20">
      <c r="K54" t="s">
        <v>506</v>
      </c>
      <c r="L54">
        <v>0.17</v>
      </c>
      <c r="M54">
        <v>28.5</v>
      </c>
      <c r="O54">
        <f t="shared" ref="O54:O60" si="5">M54/1000/100</f>
        <v>2.8499999999999999E-4</v>
      </c>
      <c r="P54" s="22">
        <f t="shared" si="0"/>
        <v>0.30434782608695654</v>
      </c>
      <c r="Q54" s="22">
        <f t="shared" si="1"/>
        <v>0.22580645161290322</v>
      </c>
      <c r="R54">
        <f t="shared" si="2"/>
        <v>6.435483870967742E-5</v>
      </c>
      <c r="S54">
        <f t="shared" si="3"/>
        <v>6.4354838709677414E-8</v>
      </c>
      <c r="T54">
        <f t="shared" si="4"/>
        <v>2.8499999999999999E-4</v>
      </c>
    </row>
    <row r="55" spans="11:20">
      <c r="K55" t="s">
        <v>507</v>
      </c>
      <c r="L55">
        <v>0.51</v>
      </c>
      <c r="M55">
        <v>10.3</v>
      </c>
      <c r="N55">
        <f t="shared" ref="N55:N60" si="6">L55/1000/100</f>
        <v>5.1000000000000003E-6</v>
      </c>
      <c r="O55">
        <f t="shared" si="5"/>
        <v>1.03E-4</v>
      </c>
      <c r="P55" s="22">
        <f t="shared" si="0"/>
        <v>0.30434782608695654</v>
      </c>
      <c r="Q55" s="22">
        <f t="shared" si="1"/>
        <v>0.22580645161290322</v>
      </c>
      <c r="R55">
        <f t="shared" si="2"/>
        <v>2.4810238429172511E-5</v>
      </c>
      <c r="S55">
        <f t="shared" si="3"/>
        <v>2.4810238429172511E-8</v>
      </c>
      <c r="T55">
        <f t="shared" si="4"/>
        <v>1.081E-4</v>
      </c>
    </row>
    <row r="56" spans="11:20">
      <c r="K56" t="s">
        <v>508</v>
      </c>
      <c r="L56">
        <v>0.46</v>
      </c>
      <c r="M56">
        <v>17.8</v>
      </c>
      <c r="N56">
        <f t="shared" si="6"/>
        <v>4.6E-6</v>
      </c>
      <c r="O56">
        <f t="shared" si="5"/>
        <v>1.7799999999999999E-4</v>
      </c>
      <c r="P56" s="22">
        <f t="shared" si="0"/>
        <v>0.30434782608695654</v>
      </c>
      <c r="Q56" s="22">
        <f t="shared" si="1"/>
        <v>0.22580645161290322</v>
      </c>
      <c r="R56">
        <f t="shared" si="2"/>
        <v>4.1593548387096773E-5</v>
      </c>
      <c r="S56">
        <f t="shared" si="3"/>
        <v>4.1593548387096773E-8</v>
      </c>
      <c r="T56">
        <f t="shared" si="4"/>
        <v>1.8259999999999999E-4</v>
      </c>
    </row>
    <row r="57" spans="11:20">
      <c r="K57" t="s">
        <v>509</v>
      </c>
      <c r="L57">
        <v>0.43</v>
      </c>
      <c r="M57">
        <v>17.3</v>
      </c>
      <c r="N57">
        <f t="shared" si="6"/>
        <v>4.2999999999999995E-6</v>
      </c>
      <c r="O57">
        <f t="shared" si="5"/>
        <v>1.73E-4</v>
      </c>
      <c r="P57" s="22">
        <f t="shared" si="0"/>
        <v>0.30434782608695654</v>
      </c>
      <c r="Q57" s="22">
        <f t="shared" si="1"/>
        <v>0.22580645161290322</v>
      </c>
      <c r="R57">
        <f t="shared" si="2"/>
        <v>4.0373211781206173E-5</v>
      </c>
      <c r="S57">
        <f t="shared" si="3"/>
        <v>4.037321178120617E-8</v>
      </c>
      <c r="T57">
        <f t="shared" si="4"/>
        <v>1.773E-4</v>
      </c>
    </row>
    <row r="58" spans="11:20">
      <c r="K58" t="s">
        <v>510</v>
      </c>
      <c r="L58">
        <v>0.42</v>
      </c>
      <c r="M58">
        <v>21.2</v>
      </c>
      <c r="N58">
        <f t="shared" si="6"/>
        <v>4.1999999999999996E-6</v>
      </c>
      <c r="O58">
        <f t="shared" si="5"/>
        <v>2.12E-4</v>
      </c>
      <c r="P58" s="22">
        <f t="shared" si="0"/>
        <v>0.30434782608695654</v>
      </c>
      <c r="Q58" s="22">
        <f t="shared" si="1"/>
        <v>0.22580645161290322</v>
      </c>
      <c r="R58">
        <f t="shared" si="2"/>
        <v>4.9149228611500702E-5</v>
      </c>
      <c r="S58">
        <f t="shared" si="3"/>
        <v>4.9149228611500705E-8</v>
      </c>
      <c r="T58">
        <f t="shared" si="4"/>
        <v>2.162E-4</v>
      </c>
    </row>
    <row r="59" spans="11:20">
      <c r="K59" t="s">
        <v>511</v>
      </c>
      <c r="L59">
        <v>0.68</v>
      </c>
      <c r="M59">
        <v>12.7</v>
      </c>
      <c r="N59">
        <f t="shared" si="6"/>
        <v>6.8000000000000001E-6</v>
      </c>
      <c r="O59">
        <f t="shared" si="5"/>
        <v>1.27E-4</v>
      </c>
      <c r="P59" s="22">
        <f t="shared" si="0"/>
        <v>0.30434782608695654</v>
      </c>
      <c r="Q59" s="22">
        <f t="shared" si="1"/>
        <v>0.22580645161290322</v>
      </c>
      <c r="R59">
        <f t="shared" si="2"/>
        <v>3.0746984572230013E-5</v>
      </c>
      <c r="S59">
        <f t="shared" si="3"/>
        <v>3.0746984572230014E-8</v>
      </c>
      <c r="T59">
        <f t="shared" si="4"/>
        <v>1.338E-4</v>
      </c>
    </row>
    <row r="60" spans="11:20">
      <c r="K60" t="s">
        <v>512</v>
      </c>
      <c r="L60">
        <v>0.72</v>
      </c>
      <c r="M60">
        <v>10.3</v>
      </c>
      <c r="N60">
        <f t="shared" si="6"/>
        <v>7.1999999999999997E-6</v>
      </c>
      <c r="O60">
        <f t="shared" si="5"/>
        <v>1.03E-4</v>
      </c>
      <c r="P60" s="22">
        <f t="shared" si="0"/>
        <v>0.30434782608695654</v>
      </c>
      <c r="Q60" s="22">
        <f t="shared" si="1"/>
        <v>0.22580645161290322</v>
      </c>
      <c r="R60" s="52">
        <f t="shared" si="2"/>
        <v>2.544936886395512E-5</v>
      </c>
      <c r="S60">
        <f t="shared" si="3"/>
        <v>2.544936886395512E-8</v>
      </c>
      <c r="T60">
        <f t="shared" si="4"/>
        <v>1.102E-4</v>
      </c>
    </row>
    <row r="62" spans="11:20">
      <c r="M62" t="s">
        <v>497</v>
      </c>
      <c r="N62" t="s">
        <v>513</v>
      </c>
      <c r="O62" t="s">
        <v>514</v>
      </c>
    </row>
    <row r="63" spans="11:20">
      <c r="M63">
        <v>10.3</v>
      </c>
      <c r="N63">
        <f>M63/100/1000</f>
        <v>1.0300000000000001E-4</v>
      </c>
      <c r="O63">
        <f>N63*Q60</f>
        <v>2.3258064516129035E-5</v>
      </c>
    </row>
  </sheetData>
  <hyperlinks>
    <hyperlink ref="D28" r:id="rId1" xr:uid="{3F416244-68E6-4B1B-B8B9-3C9C6528522E}"/>
    <hyperlink ref="D33" r:id="rId2" xr:uid="{BF681BA9-8EFE-4BD8-AD86-45B2E71F91A3}"/>
    <hyperlink ref="D29" r:id="rId3" xr:uid="{06EAA240-2A97-4153-8AFA-579A569BE226}"/>
    <hyperlink ref="J15" r:id="rId4" xr:uid="{463CAB60-D7ED-460E-8970-CA4A9EFCA2A2}"/>
  </hyperlinks>
  <pageMargins left="0.7" right="0.7" top="0.75" bottom="0.75" header="0.3" footer="0.3"/>
  <drawing r:id="rId5"/>
  <legacyDrawing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AB1FC-76C4-4D35-87AB-8A38008C86EE}">
  <dimension ref="B2:T63"/>
  <sheetViews>
    <sheetView workbookViewId="0">
      <selection activeCell="J11" sqref="J11"/>
    </sheetView>
  </sheetViews>
  <sheetFormatPr defaultRowHeight="15"/>
  <cols>
    <col min="2" max="2" width="32.5703125" customWidth="1"/>
    <col min="4" max="6" width="16" customWidth="1"/>
    <col min="7" max="7" width="16.140625" customWidth="1"/>
    <col min="8" max="9" width="14.140625" customWidth="1"/>
    <col min="10" max="10" width="15.140625" customWidth="1"/>
    <col min="14" max="14" width="18.7109375" customWidth="1"/>
    <col min="15" max="15" width="14.42578125" customWidth="1"/>
    <col min="18" max="18" width="20.7109375" customWidth="1"/>
    <col min="19" max="19" width="9.7109375" bestFit="1" customWidth="1"/>
  </cols>
  <sheetData>
    <row r="2" spans="2:14">
      <c r="B2" s="55" t="s">
        <v>517</v>
      </c>
    </row>
    <row r="3" spans="2:14" ht="45">
      <c r="B3" s="62" t="s">
        <v>411</v>
      </c>
      <c r="C3" s="60" t="s">
        <v>430</v>
      </c>
      <c r="D3" s="61" t="s">
        <v>431</v>
      </c>
      <c r="E3" s="61" t="s">
        <v>432</v>
      </c>
      <c r="F3" s="61" t="s">
        <v>433</v>
      </c>
      <c r="G3" s="61" t="s">
        <v>434</v>
      </c>
      <c r="H3" s="61" t="s">
        <v>435</v>
      </c>
      <c r="I3" s="35"/>
    </row>
    <row r="4" spans="2:14">
      <c r="B4" s="57" t="s">
        <v>436</v>
      </c>
      <c r="C4" s="16">
        <v>1.5</v>
      </c>
      <c r="D4" s="16"/>
      <c r="E4" s="16"/>
      <c r="F4" s="16">
        <f>E39</f>
        <v>200</v>
      </c>
      <c r="G4" s="48">
        <f>E40</f>
        <v>55</v>
      </c>
      <c r="H4" s="48">
        <f>(G4/100)*F4*C4</f>
        <v>165.00000000000003</v>
      </c>
      <c r="I4" s="1">
        <f>SUM(H4:H5)</f>
        <v>220.00000000000003</v>
      </c>
    </row>
    <row r="5" spans="2:14">
      <c r="B5" s="57" t="s">
        <v>439</v>
      </c>
      <c r="C5" s="16">
        <v>0.5</v>
      </c>
      <c r="D5" s="16"/>
      <c r="E5" s="16"/>
      <c r="F5" s="16">
        <v>200</v>
      </c>
      <c r="G5" s="16">
        <v>55</v>
      </c>
      <c r="H5" s="48">
        <f>(G5/100)*F5*C5</f>
        <v>55.000000000000007</v>
      </c>
    </row>
    <row r="6" spans="2:14">
      <c r="B6" s="57" t="s">
        <v>518</v>
      </c>
      <c r="C6" s="16">
        <v>1.05</v>
      </c>
      <c r="D6" s="16"/>
      <c r="E6" s="16"/>
      <c r="F6" s="16">
        <f>AVERAGE('Nitrogen import'!B99:C99)</f>
        <v>160</v>
      </c>
      <c r="G6" s="16">
        <v>50</v>
      </c>
      <c r="H6" s="16">
        <f>F6*(G6/100)*C6</f>
        <v>84</v>
      </c>
      <c r="J6" t="s">
        <v>444</v>
      </c>
    </row>
    <row r="7" spans="2:14">
      <c r="B7" s="57" t="s">
        <v>516</v>
      </c>
      <c r="C7" s="16">
        <v>0.05</v>
      </c>
      <c r="D7" s="16"/>
      <c r="E7" s="16"/>
      <c r="F7" s="16"/>
      <c r="G7" s="16"/>
      <c r="H7" s="16">
        <f>F7*(G7/100)*C7</f>
        <v>0</v>
      </c>
      <c r="J7">
        <v>0.4</v>
      </c>
    </row>
    <row r="8" spans="2:14">
      <c r="B8" s="57" t="s">
        <v>381</v>
      </c>
      <c r="C8" s="16">
        <v>0</v>
      </c>
      <c r="D8" s="16"/>
      <c r="E8" s="16"/>
      <c r="F8" s="16">
        <f>AVERAGE('Nitrogen import'!B100:C100)</f>
        <v>225</v>
      </c>
      <c r="G8" s="16">
        <v>15</v>
      </c>
      <c r="H8" s="16">
        <f>F8*(G8/100)*C8</f>
        <v>0</v>
      </c>
      <c r="J8">
        <f>J7*H10</f>
        <v>100</v>
      </c>
    </row>
    <row r="9" spans="2:14">
      <c r="B9" s="57" t="s">
        <v>379</v>
      </c>
      <c r="C9" s="16">
        <v>0</v>
      </c>
      <c r="D9" s="16"/>
      <c r="E9" s="16"/>
      <c r="F9" s="16">
        <f>AVERAGE('Nitrogen import'!B98:C98)</f>
        <v>191.5</v>
      </c>
      <c r="G9" s="16">
        <v>15</v>
      </c>
      <c r="H9" s="16">
        <f>F9*(G9/100)*C9</f>
        <v>0</v>
      </c>
    </row>
    <row r="10" spans="2:14">
      <c r="B10" s="57" t="s">
        <v>454</v>
      </c>
      <c r="C10" s="16"/>
      <c r="D10" s="16"/>
      <c r="E10" s="16"/>
      <c r="F10" s="16">
        <v>50</v>
      </c>
      <c r="G10" s="16"/>
      <c r="H10" s="16">
        <f>F10*5</f>
        <v>250</v>
      </c>
    </row>
    <row r="11" spans="2:14">
      <c r="B11" s="57" t="s">
        <v>456</v>
      </c>
      <c r="C11" s="16">
        <f>SUM(C4:C9)</f>
        <v>3.0999999999999996</v>
      </c>
      <c r="D11" s="16"/>
      <c r="E11" s="16"/>
      <c r="F11" s="16"/>
      <c r="G11" s="16"/>
      <c r="H11" s="71">
        <f>SUM(H4:H10)</f>
        <v>554</v>
      </c>
    </row>
    <row r="13" spans="2:14" ht="30">
      <c r="B13" s="62" t="s">
        <v>423</v>
      </c>
      <c r="C13" s="61" t="s">
        <v>430</v>
      </c>
      <c r="D13" s="61" t="s">
        <v>457</v>
      </c>
      <c r="E13" s="61" t="s">
        <v>458</v>
      </c>
      <c r="F13" s="61" t="s">
        <v>459</v>
      </c>
      <c r="G13" s="61" t="s">
        <v>460</v>
      </c>
      <c r="H13" s="61" t="s">
        <v>461</v>
      </c>
      <c r="I13" s="35"/>
      <c r="J13" s="35"/>
    </row>
    <row r="14" spans="2:14">
      <c r="B14" s="63" t="s">
        <v>462</v>
      </c>
      <c r="C14" s="16"/>
      <c r="D14" s="16">
        <f>C37</f>
        <v>69.180492709904485</v>
      </c>
      <c r="E14" s="16">
        <f>C35</f>
        <v>10055.304172951232</v>
      </c>
      <c r="F14" s="16"/>
      <c r="G14" s="16">
        <f>C33</f>
        <v>3.12</v>
      </c>
      <c r="H14" s="16">
        <f>C32</f>
        <v>188.23529411764707</v>
      </c>
      <c r="I14" s="22"/>
      <c r="J14" t="s">
        <v>463</v>
      </c>
    </row>
    <row r="15" spans="2:14" ht="17.25" customHeight="1">
      <c r="B15" s="64" t="s">
        <v>464</v>
      </c>
      <c r="C15" s="16"/>
      <c r="D15" s="16"/>
      <c r="E15" s="16"/>
      <c r="F15" s="16"/>
      <c r="G15" s="16"/>
      <c r="H15" s="16"/>
      <c r="I15" s="22"/>
      <c r="J15" s="10" t="s">
        <v>465</v>
      </c>
    </row>
    <row r="16" spans="2:14">
      <c r="B16" s="57" t="s">
        <v>466</v>
      </c>
      <c r="C16" s="16">
        <v>0.2</v>
      </c>
      <c r="D16" s="16"/>
      <c r="E16" s="16"/>
      <c r="F16" s="16">
        <v>15</v>
      </c>
      <c r="G16" s="16">
        <f>'Nitrogen export'!R21</f>
        <v>1.98E-3</v>
      </c>
      <c r="H16" s="16">
        <f>(F16/10)*C16*10000*G16</f>
        <v>5.9400000000000013</v>
      </c>
      <c r="K16" t="s">
        <v>519</v>
      </c>
      <c r="N16">
        <f>(C4+C5)*I30</f>
        <v>600</v>
      </c>
    </row>
    <row r="17" spans="2:14">
      <c r="B17" s="57" t="s">
        <v>467</v>
      </c>
      <c r="C17" s="16">
        <v>0.3</v>
      </c>
      <c r="D17" s="16"/>
      <c r="E17" s="16"/>
      <c r="F17" s="16">
        <f>I27*I28</f>
        <v>226</v>
      </c>
      <c r="G17" s="16">
        <f>'Nitrogen export'!R25</f>
        <v>1.3800000000000002E-3</v>
      </c>
      <c r="H17" s="16">
        <f>(F17/10)*C17*10000*G17</f>
        <v>93.564000000000007</v>
      </c>
      <c r="K17" t="s">
        <v>520</v>
      </c>
      <c r="N17">
        <f>(C17+C18)*I29</f>
        <v>60</v>
      </c>
    </row>
    <row r="18" spans="2:14">
      <c r="B18" s="57" t="s">
        <v>468</v>
      </c>
      <c r="C18" s="16">
        <v>0.3</v>
      </c>
      <c r="D18" s="16"/>
      <c r="E18" s="16"/>
      <c r="F18" s="16">
        <f>I27/2*I28</f>
        <v>113</v>
      </c>
      <c r="G18" s="16">
        <f>'Nitrogen export'!R32</f>
        <v>7.1000000000000004E-3</v>
      </c>
      <c r="H18" s="16">
        <f>(F18/10)*C18*10000*G18</f>
        <v>240.69000000000003</v>
      </c>
      <c r="I18">
        <f>SUM(H17:H18)</f>
        <v>334.25400000000002</v>
      </c>
      <c r="K18" t="s">
        <v>521</v>
      </c>
      <c r="N18">
        <f>N17*0.5*I27</f>
        <v>6780</v>
      </c>
    </row>
    <row r="19" spans="2:14">
      <c r="B19" s="57" t="s">
        <v>469</v>
      </c>
      <c r="C19" s="16">
        <v>1</v>
      </c>
      <c r="D19" s="16"/>
      <c r="E19" s="16"/>
      <c r="F19" s="16">
        <f>2000/1000</f>
        <v>2</v>
      </c>
      <c r="G19" s="16">
        <f>'Nitrogen export'!R32</f>
        <v>7.1000000000000004E-3</v>
      </c>
      <c r="H19" s="16">
        <f>(F19/10)*C19*10000*G19</f>
        <v>14.200000000000001</v>
      </c>
    </row>
    <row r="20" spans="2:14">
      <c r="B20" s="57" t="s">
        <v>470</v>
      </c>
      <c r="C20" s="16">
        <v>0.1</v>
      </c>
      <c r="D20" s="16"/>
      <c r="E20" s="16"/>
      <c r="F20" s="16">
        <f>2.5*10</f>
        <v>25</v>
      </c>
      <c r="G20" s="16">
        <v>3.2000000000000002E-3</v>
      </c>
      <c r="H20" s="16">
        <f>(F20/10)*C20*10000*G20</f>
        <v>8</v>
      </c>
      <c r="I20">
        <f>SUM(H16,H19:H20)</f>
        <v>28.14</v>
      </c>
    </row>
    <row r="21" spans="2:14">
      <c r="B21" s="57" t="s">
        <v>456</v>
      </c>
      <c r="C21" s="16">
        <f>SUM(C15:C20)</f>
        <v>1.9000000000000001</v>
      </c>
      <c r="D21" s="16"/>
      <c r="E21" s="16"/>
      <c r="F21" s="16"/>
      <c r="G21" s="16"/>
      <c r="H21" s="67">
        <f>SUM(H14:H20)</f>
        <v>550.62929411764719</v>
      </c>
    </row>
    <row r="23" spans="2:14">
      <c r="B23" s="57" t="s">
        <v>428</v>
      </c>
      <c r="C23" s="16">
        <f>SUM(C4:C10,C14:C20)</f>
        <v>4.9999999999999991</v>
      </c>
      <c r="D23" s="16"/>
      <c r="E23" s="16"/>
      <c r="F23" s="16"/>
      <c r="G23" s="16"/>
      <c r="H23" s="67">
        <f>H11-H21</f>
        <v>3.3707058823528087</v>
      </c>
    </row>
    <row r="25" spans="2:14">
      <c r="B25" s="36" t="s">
        <v>471</v>
      </c>
    </row>
    <row r="26" spans="2:14">
      <c r="B26" t="s">
        <v>472</v>
      </c>
      <c r="C26">
        <f>'Nitrogen export'!J145</f>
        <v>50.392889000000018</v>
      </c>
    </row>
    <row r="27" spans="2:14">
      <c r="B27" t="s">
        <v>473</v>
      </c>
      <c r="C27">
        <f>60</f>
        <v>60</v>
      </c>
      <c r="H27" t="s">
        <v>474</v>
      </c>
      <c r="I27">
        <v>226</v>
      </c>
    </row>
    <row r="28" spans="2:14">
      <c r="B28" t="s">
        <v>475</v>
      </c>
      <c r="C28" s="37">
        <v>35</v>
      </c>
      <c r="D28" s="10" t="s">
        <v>476</v>
      </c>
      <c r="H28" t="s">
        <v>477</v>
      </c>
      <c r="I28">
        <v>1</v>
      </c>
    </row>
    <row r="29" spans="2:14">
      <c r="B29" t="s">
        <v>478</v>
      </c>
      <c r="C29" s="37">
        <v>50</v>
      </c>
      <c r="D29" s="10" t="s">
        <v>479</v>
      </c>
      <c r="H29" t="s">
        <v>522</v>
      </c>
      <c r="I29">
        <v>100</v>
      </c>
    </row>
    <row r="30" spans="2:14">
      <c r="B30" t="s">
        <v>480</v>
      </c>
      <c r="C30" s="37">
        <f>AVERAGE(C28:C29)</f>
        <v>42.5</v>
      </c>
      <c r="D30" s="10"/>
      <c r="H30" t="s">
        <v>523</v>
      </c>
      <c r="I30">
        <v>300</v>
      </c>
    </row>
    <row r="31" spans="2:14">
      <c r="B31" t="s">
        <v>482</v>
      </c>
      <c r="C31">
        <f>C27/C30*100</f>
        <v>141.1764705882353</v>
      </c>
    </row>
    <row r="32" spans="2:14">
      <c r="B32" t="s">
        <v>484</v>
      </c>
      <c r="C32">
        <f>C31/75*100</f>
        <v>188.23529411764707</v>
      </c>
    </row>
    <row r="33" spans="2:5">
      <c r="B33" s="38" t="s">
        <v>486</v>
      </c>
      <c r="C33">
        <v>3.12</v>
      </c>
      <c r="D33" s="10" t="s">
        <v>465</v>
      </c>
    </row>
    <row r="34" spans="2:5">
      <c r="B34" t="s">
        <v>488</v>
      </c>
      <c r="C34">
        <f>C32/C33*100</f>
        <v>6033.1825037707385</v>
      </c>
    </row>
    <row r="35" spans="2:5">
      <c r="B35" t="s">
        <v>489</v>
      </c>
      <c r="C35">
        <f>C34/60*100</f>
        <v>10055.304172951232</v>
      </c>
    </row>
    <row r="36" spans="2:5">
      <c r="B36" t="s">
        <v>490</v>
      </c>
      <c r="C36">
        <f>C34*'Nitrogen import'!B18</f>
        <v>41.508295625942687</v>
      </c>
    </row>
    <row r="37" spans="2:5">
      <c r="B37" t="s">
        <v>491</v>
      </c>
      <c r="C37">
        <f>C35*'Nitrogen import'!B18</f>
        <v>69.180492709904485</v>
      </c>
    </row>
    <row r="38" spans="2:5">
      <c r="C38" t="s">
        <v>373</v>
      </c>
      <c r="D38" t="s">
        <v>374</v>
      </c>
      <c r="E38" t="s">
        <v>492</v>
      </c>
    </row>
    <row r="39" spans="2:5">
      <c r="B39" t="s">
        <v>493</v>
      </c>
      <c r="C39">
        <v>100</v>
      </c>
      <c r="D39">
        <v>300</v>
      </c>
      <c r="E39">
        <f>AVERAGE(C39:D39)</f>
        <v>200</v>
      </c>
    </row>
    <row r="40" spans="2:5">
      <c r="B40" t="s">
        <v>494</v>
      </c>
      <c r="C40">
        <v>20</v>
      </c>
      <c r="D40">
        <v>90</v>
      </c>
      <c r="E40">
        <f>AVERAGE(C40:D40)</f>
        <v>55</v>
      </c>
    </row>
    <row r="41" spans="2:5">
      <c r="B41" t="s">
        <v>495</v>
      </c>
      <c r="C41">
        <v>0.2</v>
      </c>
      <c r="D41">
        <v>2</v>
      </c>
      <c r="E41">
        <f>AVERAGE(C41:D41)</f>
        <v>1.1000000000000001</v>
      </c>
    </row>
    <row r="51" spans="11:20">
      <c r="L51" t="s">
        <v>496</v>
      </c>
      <c r="M51" t="s">
        <v>497</v>
      </c>
      <c r="N51" t="s">
        <v>498</v>
      </c>
      <c r="O51" t="s">
        <v>499</v>
      </c>
      <c r="P51" t="s">
        <v>500</v>
      </c>
      <c r="Q51" t="s">
        <v>501</v>
      </c>
      <c r="R51" t="s">
        <v>502</v>
      </c>
      <c r="S51" t="s">
        <v>503</v>
      </c>
      <c r="T51" t="s">
        <v>502</v>
      </c>
    </row>
    <row r="52" spans="11:20">
      <c r="K52" t="s">
        <v>504</v>
      </c>
      <c r="P52" s="22">
        <f t="shared" ref="P52:P60" si="0">14/(14+2*16)</f>
        <v>0.30434782608695654</v>
      </c>
      <c r="Q52" s="22">
        <f t="shared" ref="Q52:Q60" si="1">14/(14+3*16)</f>
        <v>0.22580645161290322</v>
      </c>
      <c r="S52" s="22"/>
    </row>
    <row r="53" spans="11:20">
      <c r="K53" t="s">
        <v>505</v>
      </c>
      <c r="L53">
        <v>0.61</v>
      </c>
      <c r="M53">
        <v>59.6</v>
      </c>
      <c r="N53">
        <f>L53/1000/100</f>
        <v>6.1E-6</v>
      </c>
      <c r="O53">
        <f>M53/1000/100</f>
        <v>5.9599999999999996E-4</v>
      </c>
      <c r="P53" s="22">
        <f t="shared" si="0"/>
        <v>0.30434782608695654</v>
      </c>
      <c r="Q53" s="22">
        <f t="shared" si="1"/>
        <v>0.22580645161290322</v>
      </c>
      <c r="R53">
        <f t="shared" ref="R53:R60" si="2">N53*P53+Q53*O53</f>
        <v>1.3643716690042075E-4</v>
      </c>
      <c r="S53">
        <f t="shared" ref="S53:S60" si="3">R53/1000</f>
        <v>1.3643716690042076E-7</v>
      </c>
      <c r="T53">
        <f t="shared" ref="T53:T60" si="4">N53+O53</f>
        <v>6.0209999999999994E-4</v>
      </c>
    </row>
    <row r="54" spans="11:20">
      <c r="K54" t="s">
        <v>506</v>
      </c>
      <c r="L54">
        <v>0.17</v>
      </c>
      <c r="M54">
        <v>28.5</v>
      </c>
      <c r="O54">
        <f t="shared" ref="O54:O60" si="5">M54/1000/100</f>
        <v>2.8499999999999999E-4</v>
      </c>
      <c r="P54" s="22">
        <f t="shared" si="0"/>
        <v>0.30434782608695654</v>
      </c>
      <c r="Q54" s="22">
        <f t="shared" si="1"/>
        <v>0.22580645161290322</v>
      </c>
      <c r="R54">
        <f t="shared" si="2"/>
        <v>6.435483870967742E-5</v>
      </c>
      <c r="S54">
        <f t="shared" si="3"/>
        <v>6.4354838709677414E-8</v>
      </c>
      <c r="T54">
        <f t="shared" si="4"/>
        <v>2.8499999999999999E-4</v>
      </c>
    </row>
    <row r="55" spans="11:20">
      <c r="K55" t="s">
        <v>507</v>
      </c>
      <c r="L55">
        <v>0.51</v>
      </c>
      <c r="M55">
        <v>10.3</v>
      </c>
      <c r="N55">
        <f t="shared" ref="N55:N60" si="6">L55/1000/100</f>
        <v>5.1000000000000003E-6</v>
      </c>
      <c r="O55">
        <f t="shared" si="5"/>
        <v>1.03E-4</v>
      </c>
      <c r="P55" s="22">
        <f t="shared" si="0"/>
        <v>0.30434782608695654</v>
      </c>
      <c r="Q55" s="22">
        <f t="shared" si="1"/>
        <v>0.22580645161290322</v>
      </c>
      <c r="R55">
        <f t="shared" si="2"/>
        <v>2.4810238429172511E-5</v>
      </c>
      <c r="S55">
        <f t="shared" si="3"/>
        <v>2.4810238429172511E-8</v>
      </c>
      <c r="T55">
        <f t="shared" si="4"/>
        <v>1.081E-4</v>
      </c>
    </row>
    <row r="56" spans="11:20">
      <c r="K56" t="s">
        <v>508</v>
      </c>
      <c r="L56">
        <v>0.46</v>
      </c>
      <c r="M56">
        <v>17.8</v>
      </c>
      <c r="N56">
        <f t="shared" si="6"/>
        <v>4.6E-6</v>
      </c>
      <c r="O56">
        <f t="shared" si="5"/>
        <v>1.7799999999999999E-4</v>
      </c>
      <c r="P56" s="22">
        <f t="shared" si="0"/>
        <v>0.30434782608695654</v>
      </c>
      <c r="Q56" s="22">
        <f t="shared" si="1"/>
        <v>0.22580645161290322</v>
      </c>
      <c r="R56">
        <f t="shared" si="2"/>
        <v>4.1593548387096773E-5</v>
      </c>
      <c r="S56">
        <f t="shared" si="3"/>
        <v>4.1593548387096773E-8</v>
      </c>
      <c r="T56">
        <f t="shared" si="4"/>
        <v>1.8259999999999999E-4</v>
      </c>
    </row>
    <row r="57" spans="11:20">
      <c r="K57" t="s">
        <v>509</v>
      </c>
      <c r="L57">
        <v>0.43</v>
      </c>
      <c r="M57">
        <v>17.3</v>
      </c>
      <c r="N57">
        <f t="shared" si="6"/>
        <v>4.2999999999999995E-6</v>
      </c>
      <c r="O57">
        <f t="shared" si="5"/>
        <v>1.73E-4</v>
      </c>
      <c r="P57" s="22">
        <f t="shared" si="0"/>
        <v>0.30434782608695654</v>
      </c>
      <c r="Q57" s="22">
        <f t="shared" si="1"/>
        <v>0.22580645161290322</v>
      </c>
      <c r="R57">
        <f t="shared" si="2"/>
        <v>4.0373211781206173E-5</v>
      </c>
      <c r="S57">
        <f t="shared" si="3"/>
        <v>4.037321178120617E-8</v>
      </c>
      <c r="T57">
        <f t="shared" si="4"/>
        <v>1.773E-4</v>
      </c>
    </row>
    <row r="58" spans="11:20">
      <c r="K58" t="s">
        <v>510</v>
      </c>
      <c r="L58">
        <v>0.42</v>
      </c>
      <c r="M58">
        <v>21.2</v>
      </c>
      <c r="N58">
        <f t="shared" si="6"/>
        <v>4.1999999999999996E-6</v>
      </c>
      <c r="O58">
        <f t="shared" si="5"/>
        <v>2.12E-4</v>
      </c>
      <c r="P58" s="22">
        <f t="shared" si="0"/>
        <v>0.30434782608695654</v>
      </c>
      <c r="Q58" s="22">
        <f t="shared" si="1"/>
        <v>0.22580645161290322</v>
      </c>
      <c r="R58">
        <f t="shared" si="2"/>
        <v>4.9149228611500702E-5</v>
      </c>
      <c r="S58">
        <f t="shared" si="3"/>
        <v>4.9149228611500705E-8</v>
      </c>
      <c r="T58">
        <f t="shared" si="4"/>
        <v>2.162E-4</v>
      </c>
    </row>
    <row r="59" spans="11:20">
      <c r="K59" t="s">
        <v>511</v>
      </c>
      <c r="L59">
        <v>0.68</v>
      </c>
      <c r="M59">
        <v>12.7</v>
      </c>
      <c r="N59">
        <f t="shared" si="6"/>
        <v>6.8000000000000001E-6</v>
      </c>
      <c r="O59">
        <f t="shared" si="5"/>
        <v>1.27E-4</v>
      </c>
      <c r="P59" s="22">
        <f t="shared" si="0"/>
        <v>0.30434782608695654</v>
      </c>
      <c r="Q59" s="22">
        <f t="shared" si="1"/>
        <v>0.22580645161290322</v>
      </c>
      <c r="R59">
        <f t="shared" si="2"/>
        <v>3.0746984572230013E-5</v>
      </c>
      <c r="S59">
        <f t="shared" si="3"/>
        <v>3.0746984572230014E-8</v>
      </c>
      <c r="T59">
        <f t="shared" si="4"/>
        <v>1.338E-4</v>
      </c>
    </row>
    <row r="60" spans="11:20">
      <c r="K60" t="s">
        <v>512</v>
      </c>
      <c r="L60">
        <v>0.72</v>
      </c>
      <c r="M60">
        <v>10.3</v>
      </c>
      <c r="N60">
        <f t="shared" si="6"/>
        <v>7.1999999999999997E-6</v>
      </c>
      <c r="O60">
        <f t="shared" si="5"/>
        <v>1.03E-4</v>
      </c>
      <c r="P60" s="22">
        <f t="shared" si="0"/>
        <v>0.30434782608695654</v>
      </c>
      <c r="Q60" s="22">
        <f t="shared" si="1"/>
        <v>0.22580645161290322</v>
      </c>
      <c r="R60" s="52">
        <f t="shared" si="2"/>
        <v>2.544936886395512E-5</v>
      </c>
      <c r="S60">
        <f t="shared" si="3"/>
        <v>2.544936886395512E-8</v>
      </c>
      <c r="T60">
        <f t="shared" si="4"/>
        <v>1.102E-4</v>
      </c>
    </row>
    <row r="62" spans="11:20">
      <c r="M62" t="s">
        <v>497</v>
      </c>
      <c r="N62" t="s">
        <v>513</v>
      </c>
      <c r="O62" t="s">
        <v>514</v>
      </c>
    </row>
    <row r="63" spans="11:20">
      <c r="M63">
        <v>10.3</v>
      </c>
      <c r="N63">
        <f>M63/100/1000</f>
        <v>1.0300000000000001E-4</v>
      </c>
      <c r="O63">
        <f>N63*Q60</f>
        <v>2.3258064516129035E-5</v>
      </c>
    </row>
  </sheetData>
  <hyperlinks>
    <hyperlink ref="D28" r:id="rId1" xr:uid="{E7067AA7-623E-4105-9CCD-957BF830DF01}"/>
    <hyperlink ref="D33" r:id="rId2" xr:uid="{CED859BD-95DF-4F18-916F-1E23E163D5FD}"/>
    <hyperlink ref="D29" r:id="rId3" xr:uid="{28B3F10A-9EA3-4765-B2ED-6F68F4DA64F4}"/>
    <hyperlink ref="J15" r:id="rId4" xr:uid="{7F099F5D-7AC7-49D9-B150-288360A95143}"/>
  </hyperlinks>
  <pageMargins left="0.7" right="0.7" top="0.75" bottom="0.75" header="0.3" footer="0.3"/>
  <drawing r:id="rId5"/>
  <legacy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F3786-0176-441F-811C-0AF95F93DCA5}">
  <dimension ref="A1:M11"/>
  <sheetViews>
    <sheetView workbookViewId="0"/>
  </sheetViews>
  <sheetFormatPr defaultRowHeight="15"/>
  <cols>
    <col min="2" max="2" width="13.5703125" customWidth="1"/>
    <col min="3" max="3" width="22" customWidth="1"/>
    <col min="4" max="4" width="13.42578125" customWidth="1"/>
    <col min="5" max="5" width="13" customWidth="1"/>
    <col min="6" max="6" width="14.85546875" customWidth="1"/>
    <col min="7" max="7" width="21.140625" customWidth="1"/>
  </cols>
  <sheetData>
    <row r="1" spans="1:13">
      <c r="A1" s="55" t="s">
        <v>524</v>
      </c>
    </row>
    <row r="2" spans="1:13">
      <c r="A2" t="s">
        <v>525</v>
      </c>
    </row>
    <row r="3" spans="1:13">
      <c r="C3" t="s">
        <v>526</v>
      </c>
      <c r="D3" t="s">
        <v>527</v>
      </c>
      <c r="E3" t="s">
        <v>528</v>
      </c>
      <c r="F3" t="s">
        <v>529</v>
      </c>
      <c r="G3" t="s">
        <v>530</v>
      </c>
      <c r="K3" t="s">
        <v>531</v>
      </c>
      <c r="M3">
        <v>2.5000000000000001E-2</v>
      </c>
    </row>
    <row r="4" spans="1:13">
      <c r="A4">
        <v>1</v>
      </c>
      <c r="B4" t="s">
        <v>532</v>
      </c>
      <c r="C4">
        <v>204</v>
      </c>
      <c r="D4">
        <v>5.0434999999999999</v>
      </c>
      <c r="E4" s="51">
        <f t="shared" ref="E4:E11" si="0">C4*$M$3*(1/D4)</f>
        <v>1.0112025379200953</v>
      </c>
      <c r="K4" t="s">
        <v>533</v>
      </c>
      <c r="M4">
        <v>1650000</v>
      </c>
    </row>
    <row r="5" spans="1:13">
      <c r="A5">
        <v>2</v>
      </c>
      <c r="B5" t="s">
        <v>534</v>
      </c>
      <c r="C5">
        <f>AVERAGE(138,153)</f>
        <v>145.5</v>
      </c>
      <c r="D5">
        <v>3.4144000000000001</v>
      </c>
      <c r="E5" s="51">
        <f t="shared" si="0"/>
        <v>1.0653409090909089</v>
      </c>
      <c r="F5" s="51">
        <f>AVERAGE(E4:E5)</f>
        <v>1.0382717235055021</v>
      </c>
      <c r="G5">
        <f>F5*$M$4*$M$5*$M$6/10^6</f>
        <v>5139.4450313522348</v>
      </c>
      <c r="K5" t="s">
        <v>535</v>
      </c>
      <c r="M5">
        <v>0.3</v>
      </c>
    </row>
    <row r="6" spans="1:13">
      <c r="A6">
        <v>3</v>
      </c>
      <c r="B6" t="s">
        <v>536</v>
      </c>
      <c r="C6">
        <v>87</v>
      </c>
      <c r="D6">
        <v>4.8109999999999999</v>
      </c>
      <c r="E6" s="51">
        <f t="shared" si="0"/>
        <v>0.45208896279359806</v>
      </c>
      <c r="K6" t="s">
        <v>537</v>
      </c>
      <c r="M6">
        <v>10000</v>
      </c>
    </row>
    <row r="7" spans="1:13">
      <c r="A7">
        <v>4</v>
      </c>
      <c r="B7" t="s">
        <v>538</v>
      </c>
      <c r="C7">
        <v>110</v>
      </c>
      <c r="D7">
        <v>5.1704999999999997</v>
      </c>
      <c r="E7" s="51">
        <f t="shared" si="0"/>
        <v>0.53186345614544051</v>
      </c>
      <c r="F7" s="51">
        <f>AVERAGE(E6:E7)</f>
        <v>0.49197620946951925</v>
      </c>
      <c r="G7">
        <f>F7*$M$4*$M$5*$M$6/10^6</f>
        <v>2435.2822368741204</v>
      </c>
    </row>
    <row r="8" spans="1:13">
      <c r="A8">
        <v>5</v>
      </c>
      <c r="B8" t="s">
        <v>539</v>
      </c>
      <c r="C8">
        <v>31</v>
      </c>
      <c r="D8">
        <v>4.95</v>
      </c>
      <c r="E8" s="51">
        <f t="shared" si="0"/>
        <v>0.15656565656565657</v>
      </c>
    </row>
    <row r="9" spans="1:13">
      <c r="A9">
        <v>6</v>
      </c>
      <c r="B9" t="s">
        <v>540</v>
      </c>
      <c r="C9">
        <v>50</v>
      </c>
      <c r="D9">
        <v>5.1020000000000003</v>
      </c>
      <c r="E9" s="51">
        <f t="shared" si="0"/>
        <v>0.24500196001568011</v>
      </c>
      <c r="F9" s="51">
        <f>AVERAGE(E8:E9)</f>
        <v>0.20078380829066833</v>
      </c>
      <c r="G9">
        <f>F9*$M$4*$M$5*$M$6/10^6</f>
        <v>993.87985103880806</v>
      </c>
    </row>
    <row r="10" spans="1:13">
      <c r="A10">
        <v>7</v>
      </c>
      <c r="B10" t="s">
        <v>541</v>
      </c>
      <c r="C10">
        <v>206</v>
      </c>
      <c r="D10">
        <v>5.2824999999999998</v>
      </c>
      <c r="E10" s="51">
        <f t="shared" si="0"/>
        <v>0.97491717936583067</v>
      </c>
    </row>
    <row r="11" spans="1:13">
      <c r="A11">
        <v>8</v>
      </c>
      <c r="B11" t="s">
        <v>542</v>
      </c>
      <c r="C11">
        <v>191</v>
      </c>
      <c r="D11">
        <v>4.2359999999999998</v>
      </c>
      <c r="E11" s="51">
        <f t="shared" si="0"/>
        <v>1.1272426817752599</v>
      </c>
      <c r="F11" s="51">
        <f>AVERAGE(E10:E11)</f>
        <v>1.0510799305705452</v>
      </c>
      <c r="G11">
        <f>F11*$M$4*$M$5*$M$6/10^6</f>
        <v>5202.845656324198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D1E24-CE58-4EF5-8830-8C40B9AE19B5}">
  <dimension ref="B1:T63"/>
  <sheetViews>
    <sheetView workbookViewId="0">
      <selection activeCell="J3" sqref="J3"/>
    </sheetView>
  </sheetViews>
  <sheetFormatPr defaultRowHeight="15"/>
  <cols>
    <col min="2" max="2" width="32.5703125" customWidth="1"/>
    <col min="4" max="6" width="16" customWidth="1"/>
    <col min="7" max="7" width="16.140625" customWidth="1"/>
    <col min="8" max="9" width="14.140625" customWidth="1"/>
    <col min="10" max="10" width="15.140625" customWidth="1"/>
    <col min="14" max="14" width="18.7109375" customWidth="1"/>
    <col min="15" max="15" width="14.42578125" customWidth="1"/>
    <col min="18" max="18" width="20.7109375" customWidth="1"/>
    <col min="19" max="19" width="9.7109375" bestFit="1" customWidth="1"/>
  </cols>
  <sheetData>
    <row r="1" spans="2:10">
      <c r="G1" t="s">
        <v>463</v>
      </c>
    </row>
    <row r="2" spans="2:10">
      <c r="B2" s="20" t="s">
        <v>429</v>
      </c>
      <c r="G2" s="10" t="s">
        <v>465</v>
      </c>
    </row>
    <row r="3" spans="2:10" ht="45">
      <c r="B3" s="45" t="s">
        <v>411</v>
      </c>
      <c r="C3" s="46" t="s">
        <v>430</v>
      </c>
      <c r="D3" s="42" t="s">
        <v>431</v>
      </c>
      <c r="E3" s="42" t="s">
        <v>432</v>
      </c>
      <c r="F3" s="42" t="s">
        <v>433</v>
      </c>
      <c r="G3" s="42" t="s">
        <v>434</v>
      </c>
      <c r="H3" s="42" t="s">
        <v>435</v>
      </c>
      <c r="I3" s="35"/>
    </row>
    <row r="4" spans="2:10">
      <c r="B4" s="44" t="s">
        <v>436</v>
      </c>
      <c r="C4" s="16">
        <v>0</v>
      </c>
      <c r="D4" s="16"/>
      <c r="E4" s="16"/>
      <c r="F4" s="16">
        <f>E39</f>
        <v>200</v>
      </c>
      <c r="G4" s="48">
        <f>E40</f>
        <v>55</v>
      </c>
      <c r="H4" s="48">
        <f>(G4/100)*F4*C4</f>
        <v>0</v>
      </c>
    </row>
    <row r="5" spans="2:10">
      <c r="B5" s="44" t="s">
        <v>439</v>
      </c>
      <c r="C5" s="16">
        <v>0</v>
      </c>
      <c r="D5" s="16"/>
      <c r="E5" s="16"/>
      <c r="F5" s="16">
        <v>200</v>
      </c>
      <c r="G5" s="16">
        <v>55</v>
      </c>
      <c r="H5" s="48">
        <f>(G5/100)*F5*C5</f>
        <v>0</v>
      </c>
    </row>
    <row r="6" spans="2:10">
      <c r="B6" s="44" t="s">
        <v>443</v>
      </c>
      <c r="C6" s="16">
        <v>2.5</v>
      </c>
      <c r="D6" s="16"/>
      <c r="E6" s="16"/>
      <c r="F6" s="16">
        <f>AVERAGE('Nitrogen import'!B99:C99)</f>
        <v>160</v>
      </c>
      <c r="G6" s="16">
        <v>50</v>
      </c>
      <c r="H6" s="16">
        <f>F6*(G6/100)*C6</f>
        <v>200</v>
      </c>
      <c r="J6" t="s">
        <v>444</v>
      </c>
    </row>
    <row r="7" spans="2:10">
      <c r="B7" s="44" t="s">
        <v>448</v>
      </c>
      <c r="C7" s="16">
        <v>0</v>
      </c>
      <c r="D7" s="16"/>
      <c r="E7" s="16"/>
      <c r="F7" s="16">
        <f>AVERAGE('Nitrogen import'!B108:C108)</f>
        <v>221</v>
      </c>
      <c r="G7" s="16">
        <v>50</v>
      </c>
      <c r="H7" s="16">
        <f>F7*(G7/100)*C7</f>
        <v>0</v>
      </c>
      <c r="J7">
        <v>0.4</v>
      </c>
    </row>
    <row r="8" spans="2:10">
      <c r="B8" s="44" t="s">
        <v>381</v>
      </c>
      <c r="C8" s="16">
        <v>0.1</v>
      </c>
      <c r="D8" s="16"/>
      <c r="E8" s="16"/>
      <c r="F8" s="16">
        <f>AVERAGE('Nitrogen import'!B100:C100)</f>
        <v>225</v>
      </c>
      <c r="G8" s="16">
        <v>15</v>
      </c>
      <c r="H8" s="16">
        <f>F8*(G8/100)*C8</f>
        <v>3.375</v>
      </c>
      <c r="J8">
        <f>H11*J7</f>
        <v>100</v>
      </c>
    </row>
    <row r="9" spans="2:10">
      <c r="B9" s="44" t="s">
        <v>379</v>
      </c>
      <c r="C9" s="16">
        <v>0.1</v>
      </c>
      <c r="D9" s="16"/>
      <c r="E9" s="16"/>
      <c r="F9" s="16">
        <f>AVERAGE('Nitrogen import'!B98:C98)</f>
        <v>191.5</v>
      </c>
      <c r="G9" s="16">
        <v>15</v>
      </c>
      <c r="H9" s="16">
        <f>F9*(G9/100)*C9</f>
        <v>2.8725000000000001</v>
      </c>
    </row>
    <row r="10" spans="2:10">
      <c r="B10" s="44" t="s">
        <v>456</v>
      </c>
      <c r="C10" s="16">
        <f>SUM(C4:C9)</f>
        <v>2.7</v>
      </c>
      <c r="D10" s="16"/>
      <c r="E10" s="16"/>
      <c r="F10" s="16"/>
      <c r="G10" s="16"/>
      <c r="H10" s="50">
        <f>SUM(H4:H9)</f>
        <v>206.2475</v>
      </c>
    </row>
    <row r="11" spans="2:10">
      <c r="B11" t="s">
        <v>454</v>
      </c>
      <c r="C11">
        <v>5</v>
      </c>
      <c r="F11">
        <v>50</v>
      </c>
      <c r="H11">
        <f>F11*C11</f>
        <v>250</v>
      </c>
    </row>
    <row r="13" spans="2:10" ht="30">
      <c r="B13" s="41" t="s">
        <v>423</v>
      </c>
      <c r="C13" s="42" t="s">
        <v>430</v>
      </c>
      <c r="D13" s="42" t="s">
        <v>457</v>
      </c>
      <c r="E13" s="42" t="s">
        <v>458</v>
      </c>
      <c r="F13" s="42" t="s">
        <v>459</v>
      </c>
      <c r="G13" s="42" t="s">
        <v>460</v>
      </c>
      <c r="H13" s="42" t="s">
        <v>461</v>
      </c>
      <c r="I13" s="35"/>
      <c r="J13" s="35"/>
    </row>
    <row r="14" spans="2:10">
      <c r="B14" s="49" t="s">
        <v>462</v>
      </c>
      <c r="C14" s="16"/>
      <c r="D14" s="16">
        <f>C37</f>
        <v>69.180492709904485</v>
      </c>
      <c r="E14" s="16">
        <f>C35</f>
        <v>10055.304172951232</v>
      </c>
      <c r="F14" s="16"/>
      <c r="G14" s="16">
        <f>C33</f>
        <v>3.12</v>
      </c>
      <c r="H14" s="16">
        <f>C32</f>
        <v>188.23529411764707</v>
      </c>
      <c r="I14" s="22"/>
    </row>
    <row r="15" spans="2:10" ht="30">
      <c r="B15" s="43" t="s">
        <v>464</v>
      </c>
      <c r="C15" s="16"/>
      <c r="D15" s="16"/>
      <c r="E15" s="16"/>
      <c r="F15" s="16"/>
      <c r="G15" s="16"/>
      <c r="H15" s="16"/>
      <c r="I15" s="22"/>
    </row>
    <row r="16" spans="2:10">
      <c r="B16" s="44" t="s">
        <v>466</v>
      </c>
      <c r="C16" s="16">
        <v>0.2</v>
      </c>
      <c r="D16" s="16"/>
      <c r="E16" s="16"/>
      <c r="F16" s="16">
        <v>15</v>
      </c>
      <c r="G16" s="16">
        <f>'Nitrogen export'!R21</f>
        <v>1.98E-3</v>
      </c>
      <c r="H16" s="16">
        <f>(F16/10)*C16*10000*G16</f>
        <v>5.9400000000000013</v>
      </c>
    </row>
    <row r="17" spans="2:9">
      <c r="B17" s="44" t="s">
        <v>467</v>
      </c>
      <c r="C17" s="16">
        <v>0</v>
      </c>
      <c r="D17" s="16"/>
      <c r="E17" s="16"/>
      <c r="F17" s="16">
        <f>I27*I28</f>
        <v>226</v>
      </c>
      <c r="G17" s="16">
        <f>'Nitrogen export'!R25</f>
        <v>1.3800000000000002E-3</v>
      </c>
      <c r="H17" s="16">
        <f>(F17/10)*C17*10000*G17</f>
        <v>0</v>
      </c>
    </row>
    <row r="18" spans="2:9">
      <c r="B18" s="44" t="s">
        <v>468</v>
      </c>
      <c r="C18" s="16">
        <v>0</v>
      </c>
      <c r="D18" s="16"/>
      <c r="E18" s="16"/>
      <c r="F18" s="16">
        <f>I27/2*I28</f>
        <v>113</v>
      </c>
      <c r="G18" s="16">
        <f>'Nitrogen export'!R32</f>
        <v>7.1000000000000004E-3</v>
      </c>
      <c r="H18" s="16">
        <f>(F18/10)*C18*10000*G18</f>
        <v>0</v>
      </c>
    </row>
    <row r="19" spans="2:9">
      <c r="B19" s="44" t="s">
        <v>469</v>
      </c>
      <c r="C19" s="16">
        <v>4.5999999999999996</v>
      </c>
      <c r="D19" s="16"/>
      <c r="E19" s="16"/>
      <c r="F19" s="16">
        <f>2000/1000</f>
        <v>2</v>
      </c>
      <c r="G19" s="16">
        <f>'Nitrogen export'!R32</f>
        <v>7.1000000000000004E-3</v>
      </c>
      <c r="H19" s="16">
        <f>(F19/10)*C19*10000*G19</f>
        <v>65.320000000000007</v>
      </c>
    </row>
    <row r="20" spans="2:9">
      <c r="B20" s="44" t="s">
        <v>470</v>
      </c>
      <c r="C20" s="16"/>
      <c r="D20" s="16"/>
      <c r="E20" s="16"/>
      <c r="F20" s="16">
        <f>2.5*10</f>
        <v>25</v>
      </c>
      <c r="G20" s="16">
        <v>3.2000000000000002E-3</v>
      </c>
      <c r="H20" s="16">
        <f>(F20/10)*C20*10000*G20</f>
        <v>0</v>
      </c>
    </row>
    <row r="21" spans="2:9">
      <c r="B21" s="44" t="s">
        <v>456</v>
      </c>
      <c r="C21" s="16">
        <f>SUM(C15:C20)</f>
        <v>4.8</v>
      </c>
      <c r="D21" s="16"/>
      <c r="E21" s="16"/>
      <c r="F21" s="16"/>
      <c r="G21" s="16"/>
      <c r="H21" s="44">
        <f>SUM(H14:H20)</f>
        <v>259.49529411764706</v>
      </c>
    </row>
    <row r="23" spans="2:9">
      <c r="B23" s="44" t="s">
        <v>428</v>
      </c>
      <c r="C23" s="16">
        <f>SUM(C10,C21)</f>
        <v>7.5</v>
      </c>
      <c r="D23" s="16"/>
      <c r="E23" s="16"/>
      <c r="F23" s="16"/>
      <c r="G23" s="16"/>
      <c r="H23" s="16"/>
    </row>
    <row r="25" spans="2:9">
      <c r="B25" s="36" t="s">
        <v>471</v>
      </c>
    </row>
    <row r="26" spans="2:9">
      <c r="B26" t="s">
        <v>472</v>
      </c>
      <c r="C26">
        <f>'Nitrogen export'!J145</f>
        <v>50.392889000000018</v>
      </c>
    </row>
    <row r="27" spans="2:9">
      <c r="B27" t="s">
        <v>473</v>
      </c>
      <c r="C27">
        <f>60</f>
        <v>60</v>
      </c>
      <c r="H27" t="s">
        <v>474</v>
      </c>
      <c r="I27">
        <v>226</v>
      </c>
    </row>
    <row r="28" spans="2:9">
      <c r="B28" t="s">
        <v>475</v>
      </c>
      <c r="C28" s="37">
        <v>35</v>
      </c>
      <c r="D28" s="10" t="s">
        <v>476</v>
      </c>
      <c r="H28" t="s">
        <v>477</v>
      </c>
      <c r="I28">
        <v>1</v>
      </c>
    </row>
    <row r="29" spans="2:9">
      <c r="B29" t="s">
        <v>478</v>
      </c>
      <c r="C29" s="37">
        <v>50</v>
      </c>
      <c r="D29" s="10" t="s">
        <v>479</v>
      </c>
    </row>
    <row r="30" spans="2:9">
      <c r="B30" t="s">
        <v>480</v>
      </c>
      <c r="C30" s="37">
        <f>AVERAGE(C28:C29)</f>
        <v>42.5</v>
      </c>
      <c r="D30" s="10"/>
    </row>
    <row r="31" spans="2:9">
      <c r="B31" t="s">
        <v>482</v>
      </c>
      <c r="C31">
        <f>C27/C30*100</f>
        <v>141.1764705882353</v>
      </c>
    </row>
    <row r="32" spans="2:9">
      <c r="B32" t="s">
        <v>484</v>
      </c>
      <c r="C32">
        <f>C31/75*100</f>
        <v>188.23529411764707</v>
      </c>
    </row>
    <row r="33" spans="2:5">
      <c r="B33" s="38" t="s">
        <v>486</v>
      </c>
      <c r="C33">
        <v>3.12</v>
      </c>
      <c r="D33" s="10" t="s">
        <v>465</v>
      </c>
    </row>
    <row r="34" spans="2:5">
      <c r="B34" t="s">
        <v>488</v>
      </c>
      <c r="C34">
        <f>C32/C33*100</f>
        <v>6033.1825037707385</v>
      </c>
    </row>
    <row r="35" spans="2:5">
      <c r="B35" t="s">
        <v>489</v>
      </c>
      <c r="C35">
        <f>C34/60*100</f>
        <v>10055.304172951232</v>
      </c>
    </row>
    <row r="36" spans="2:5">
      <c r="B36" t="s">
        <v>490</v>
      </c>
      <c r="C36">
        <f>C34*'Nitrogen import'!B18</f>
        <v>41.508295625942687</v>
      </c>
    </row>
    <row r="37" spans="2:5">
      <c r="B37" t="s">
        <v>491</v>
      </c>
      <c r="C37">
        <f>C35*'Nitrogen import'!B18</f>
        <v>69.180492709904485</v>
      </c>
    </row>
    <row r="38" spans="2:5">
      <c r="C38" t="s">
        <v>373</v>
      </c>
      <c r="D38" t="s">
        <v>374</v>
      </c>
      <c r="E38" t="s">
        <v>492</v>
      </c>
    </row>
    <row r="39" spans="2:5">
      <c r="B39" t="s">
        <v>493</v>
      </c>
      <c r="C39">
        <v>100</v>
      </c>
      <c r="D39">
        <v>300</v>
      </c>
      <c r="E39">
        <f>AVERAGE(C39:D39)</f>
        <v>200</v>
      </c>
    </row>
    <row r="40" spans="2:5">
      <c r="B40" t="s">
        <v>494</v>
      </c>
      <c r="C40">
        <v>20</v>
      </c>
      <c r="D40">
        <v>90</v>
      </c>
      <c r="E40">
        <f>AVERAGE(C40:D40)</f>
        <v>55</v>
      </c>
    </row>
    <row r="41" spans="2:5">
      <c r="B41" t="s">
        <v>495</v>
      </c>
      <c r="C41">
        <v>0.2</v>
      </c>
      <c r="D41">
        <v>2</v>
      </c>
      <c r="E41">
        <f>AVERAGE(C41:D41)</f>
        <v>1.1000000000000001</v>
      </c>
    </row>
    <row r="51" spans="11:20">
      <c r="L51" t="s">
        <v>496</v>
      </c>
      <c r="M51" t="s">
        <v>497</v>
      </c>
      <c r="N51" t="s">
        <v>498</v>
      </c>
      <c r="O51" t="s">
        <v>499</v>
      </c>
      <c r="P51" t="s">
        <v>500</v>
      </c>
      <c r="Q51" t="s">
        <v>501</v>
      </c>
      <c r="R51" t="s">
        <v>502</v>
      </c>
      <c r="S51" t="s">
        <v>503</v>
      </c>
      <c r="T51" t="s">
        <v>502</v>
      </c>
    </row>
    <row r="52" spans="11:20">
      <c r="K52" t="s">
        <v>504</v>
      </c>
      <c r="P52" s="22">
        <f t="shared" ref="P52:P60" si="0">14/(14+2*16)</f>
        <v>0.30434782608695654</v>
      </c>
      <c r="Q52" s="22">
        <f t="shared" ref="Q52:Q60" si="1">14/(14+3*16)</f>
        <v>0.22580645161290322</v>
      </c>
      <c r="S52" s="22"/>
    </row>
    <row r="53" spans="11:20">
      <c r="K53" t="s">
        <v>505</v>
      </c>
      <c r="L53">
        <v>0.61</v>
      </c>
      <c r="M53">
        <v>59.6</v>
      </c>
      <c r="N53">
        <f>L53/1000/100</f>
        <v>6.1E-6</v>
      </c>
      <c r="O53">
        <f>M53/1000/100</f>
        <v>5.9599999999999996E-4</v>
      </c>
      <c r="P53" s="22">
        <f t="shared" si="0"/>
        <v>0.30434782608695654</v>
      </c>
      <c r="Q53" s="22">
        <f t="shared" si="1"/>
        <v>0.22580645161290322</v>
      </c>
      <c r="R53">
        <f t="shared" ref="R53:R60" si="2">N53*P53+Q53*O53</f>
        <v>1.3643716690042075E-4</v>
      </c>
      <c r="S53">
        <f t="shared" ref="S53:S60" si="3">R53/1000</f>
        <v>1.3643716690042076E-7</v>
      </c>
      <c r="T53">
        <f t="shared" ref="T53:T60" si="4">N53+O53</f>
        <v>6.0209999999999994E-4</v>
      </c>
    </row>
    <row r="54" spans="11:20">
      <c r="K54" t="s">
        <v>506</v>
      </c>
      <c r="L54">
        <v>0.17</v>
      </c>
      <c r="M54">
        <v>28.5</v>
      </c>
      <c r="O54">
        <f t="shared" ref="O54:O60" si="5">M54/1000/100</f>
        <v>2.8499999999999999E-4</v>
      </c>
      <c r="P54" s="22">
        <f t="shared" si="0"/>
        <v>0.30434782608695654</v>
      </c>
      <c r="Q54" s="22">
        <f t="shared" si="1"/>
        <v>0.22580645161290322</v>
      </c>
      <c r="R54">
        <f t="shared" si="2"/>
        <v>6.435483870967742E-5</v>
      </c>
      <c r="S54">
        <f t="shared" si="3"/>
        <v>6.4354838709677414E-8</v>
      </c>
      <c r="T54">
        <f t="shared" si="4"/>
        <v>2.8499999999999999E-4</v>
      </c>
    </row>
    <row r="55" spans="11:20">
      <c r="K55" t="s">
        <v>507</v>
      </c>
      <c r="L55">
        <v>0.51</v>
      </c>
      <c r="M55">
        <v>10.3</v>
      </c>
      <c r="N55">
        <f t="shared" ref="N55:N60" si="6">L55/1000/100</f>
        <v>5.1000000000000003E-6</v>
      </c>
      <c r="O55">
        <f t="shared" si="5"/>
        <v>1.03E-4</v>
      </c>
      <c r="P55" s="22">
        <f t="shared" si="0"/>
        <v>0.30434782608695654</v>
      </c>
      <c r="Q55" s="22">
        <f t="shared" si="1"/>
        <v>0.22580645161290322</v>
      </c>
      <c r="R55">
        <f t="shared" si="2"/>
        <v>2.4810238429172511E-5</v>
      </c>
      <c r="S55">
        <f t="shared" si="3"/>
        <v>2.4810238429172511E-8</v>
      </c>
      <c r="T55">
        <f t="shared" si="4"/>
        <v>1.081E-4</v>
      </c>
    </row>
    <row r="56" spans="11:20">
      <c r="K56" t="s">
        <v>508</v>
      </c>
      <c r="L56">
        <v>0.46</v>
      </c>
      <c r="M56">
        <v>17.8</v>
      </c>
      <c r="N56">
        <f t="shared" si="6"/>
        <v>4.6E-6</v>
      </c>
      <c r="O56">
        <f t="shared" si="5"/>
        <v>1.7799999999999999E-4</v>
      </c>
      <c r="P56" s="22">
        <f t="shared" si="0"/>
        <v>0.30434782608695654</v>
      </c>
      <c r="Q56" s="22">
        <f t="shared" si="1"/>
        <v>0.22580645161290322</v>
      </c>
      <c r="R56">
        <f t="shared" si="2"/>
        <v>4.1593548387096773E-5</v>
      </c>
      <c r="S56">
        <f t="shared" si="3"/>
        <v>4.1593548387096773E-8</v>
      </c>
      <c r="T56">
        <f t="shared" si="4"/>
        <v>1.8259999999999999E-4</v>
      </c>
    </row>
    <row r="57" spans="11:20">
      <c r="K57" t="s">
        <v>509</v>
      </c>
      <c r="L57">
        <v>0.43</v>
      </c>
      <c r="M57">
        <v>17.3</v>
      </c>
      <c r="N57">
        <f t="shared" si="6"/>
        <v>4.2999999999999995E-6</v>
      </c>
      <c r="O57">
        <f t="shared" si="5"/>
        <v>1.73E-4</v>
      </c>
      <c r="P57" s="22">
        <f t="shared" si="0"/>
        <v>0.30434782608695654</v>
      </c>
      <c r="Q57" s="22">
        <f t="shared" si="1"/>
        <v>0.22580645161290322</v>
      </c>
      <c r="R57">
        <f t="shared" si="2"/>
        <v>4.0373211781206173E-5</v>
      </c>
      <c r="S57">
        <f t="shared" si="3"/>
        <v>4.037321178120617E-8</v>
      </c>
      <c r="T57">
        <f t="shared" si="4"/>
        <v>1.773E-4</v>
      </c>
    </row>
    <row r="58" spans="11:20">
      <c r="K58" t="s">
        <v>510</v>
      </c>
      <c r="L58">
        <v>0.42</v>
      </c>
      <c r="M58">
        <v>21.2</v>
      </c>
      <c r="N58">
        <f t="shared" si="6"/>
        <v>4.1999999999999996E-6</v>
      </c>
      <c r="O58">
        <f t="shared" si="5"/>
        <v>2.12E-4</v>
      </c>
      <c r="P58" s="22">
        <f t="shared" si="0"/>
        <v>0.30434782608695654</v>
      </c>
      <c r="Q58" s="22">
        <f t="shared" si="1"/>
        <v>0.22580645161290322</v>
      </c>
      <c r="R58">
        <f t="shared" si="2"/>
        <v>4.9149228611500702E-5</v>
      </c>
      <c r="S58">
        <f t="shared" si="3"/>
        <v>4.9149228611500705E-8</v>
      </c>
      <c r="T58">
        <f t="shared" si="4"/>
        <v>2.162E-4</v>
      </c>
    </row>
    <row r="59" spans="11:20">
      <c r="K59" t="s">
        <v>511</v>
      </c>
      <c r="L59">
        <v>0.68</v>
      </c>
      <c r="M59">
        <v>12.7</v>
      </c>
      <c r="N59">
        <f t="shared" si="6"/>
        <v>6.8000000000000001E-6</v>
      </c>
      <c r="O59">
        <f t="shared" si="5"/>
        <v>1.27E-4</v>
      </c>
      <c r="P59" s="22">
        <f t="shared" si="0"/>
        <v>0.30434782608695654</v>
      </c>
      <c r="Q59" s="22">
        <f t="shared" si="1"/>
        <v>0.22580645161290322</v>
      </c>
      <c r="R59">
        <f t="shared" si="2"/>
        <v>3.0746984572230013E-5</v>
      </c>
      <c r="S59">
        <f t="shared" si="3"/>
        <v>3.0746984572230014E-8</v>
      </c>
      <c r="T59">
        <f t="shared" si="4"/>
        <v>1.338E-4</v>
      </c>
    </row>
    <row r="60" spans="11:20">
      <c r="K60" t="s">
        <v>512</v>
      </c>
      <c r="L60">
        <v>0.72</v>
      </c>
      <c r="M60">
        <v>10.3</v>
      </c>
      <c r="N60">
        <f t="shared" si="6"/>
        <v>7.1999999999999997E-6</v>
      </c>
      <c r="O60">
        <f t="shared" si="5"/>
        <v>1.03E-4</v>
      </c>
      <c r="P60" s="22">
        <f t="shared" si="0"/>
        <v>0.30434782608695654</v>
      </c>
      <c r="Q60" s="22">
        <f t="shared" si="1"/>
        <v>0.22580645161290322</v>
      </c>
      <c r="R60" s="52">
        <f t="shared" si="2"/>
        <v>2.544936886395512E-5</v>
      </c>
      <c r="S60">
        <f t="shared" si="3"/>
        <v>2.544936886395512E-8</v>
      </c>
      <c r="T60">
        <f t="shared" si="4"/>
        <v>1.102E-4</v>
      </c>
    </row>
    <row r="62" spans="11:20">
      <c r="M62" t="s">
        <v>497</v>
      </c>
      <c r="N62" t="s">
        <v>513</v>
      </c>
      <c r="O62" t="s">
        <v>514</v>
      </c>
    </row>
    <row r="63" spans="11:20">
      <c r="M63">
        <v>10.3</v>
      </c>
      <c r="N63">
        <f>M63/100/1000</f>
        <v>1.0300000000000001E-4</v>
      </c>
      <c r="O63">
        <f>N63*Q60</f>
        <v>2.3258064516129035E-5</v>
      </c>
    </row>
  </sheetData>
  <hyperlinks>
    <hyperlink ref="D28" r:id="rId1" xr:uid="{2794514E-806C-400E-86AB-E6A6258EC341}"/>
    <hyperlink ref="D33" r:id="rId2" xr:uid="{43D8639E-97AC-41CE-915E-D8116849AE49}"/>
    <hyperlink ref="D29" r:id="rId3" xr:uid="{58BAE795-C514-43DE-9B81-4BA6B5C1E1B2}"/>
    <hyperlink ref="G2" r:id="rId4" xr:uid="{C7EEAA82-804B-4CEC-A81F-C443D6395071}"/>
  </hyperlinks>
  <pageMargins left="0.7" right="0.7" top="0.75" bottom="0.75" header="0.3" footer="0.3"/>
  <drawing r:id="rId5"/>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491F3829A932445B8CC7712C4A373EA" ma:contentTypeVersion="12" ma:contentTypeDescription="Een nieuw document maken." ma:contentTypeScope="" ma:versionID="fabd656675bd8e9e8a45ff44ec8ba1c3">
  <xsd:schema xmlns:xsd="http://www.w3.org/2001/XMLSchema" xmlns:xs="http://www.w3.org/2001/XMLSchema" xmlns:p="http://schemas.microsoft.com/office/2006/metadata/properties" xmlns:ns2="ec2d4810-de3f-4f12-b27b-d742d4984381" xmlns:ns3="d6c2317d-b069-4dc5-aac4-78048491bc10" targetNamespace="http://schemas.microsoft.com/office/2006/metadata/properties" ma:root="true" ma:fieldsID="7eddf60315905a2fa2eb1644ab07bb89" ns2:_="" ns3:_="">
    <xsd:import namespace="ec2d4810-de3f-4f12-b27b-d742d4984381"/>
    <xsd:import namespace="d6c2317d-b069-4dc5-aac4-78048491bc1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AutoTags" minOccurs="0"/>
                <xsd:element ref="ns2:MediaServiceLocatio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2d4810-de3f-4f12-b27b-d742d49843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c2317d-b069-4dc5-aac4-78048491bc10" elementFormDefault="qualified">
    <xsd:import namespace="http://schemas.microsoft.com/office/2006/documentManagement/types"/>
    <xsd:import namespace="http://schemas.microsoft.com/office/infopath/2007/PartnerControls"/>
    <xsd:element name="SharedWithUsers" ma:index="12"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221D2B5-08C0-4550-8D69-95CEA5C075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2d4810-de3f-4f12-b27b-d742d4984381"/>
    <ds:schemaRef ds:uri="d6c2317d-b069-4dc5-aac4-78048491bc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A1CC307-4A39-4753-B27A-FF0E9CC866AA}">
  <ds:schemaRefs>
    <ds:schemaRef ds:uri="http://schemas.microsoft.com/sharepoint/v3/contenttype/forms"/>
  </ds:schemaRefs>
</ds:datastoreItem>
</file>

<file path=customXml/itemProps3.xml><?xml version="1.0" encoding="utf-8"?>
<ds:datastoreItem xmlns:ds="http://schemas.openxmlformats.org/officeDocument/2006/customXml" ds:itemID="{B0F748C5-38EF-4B19-B250-F07D1DDF3ED7}">
  <ds:schemaRefs>
    <ds:schemaRef ds:uri="d6c2317d-b069-4dc5-aac4-78048491bc10"/>
    <ds:schemaRef ds:uri="http://purl.org/dc/terms/"/>
    <ds:schemaRef ds:uri="http://schemas.microsoft.com/office/2006/documentManagement/types"/>
    <ds:schemaRef ds:uri="http://purl.org/dc/dcmitype/"/>
    <ds:schemaRef ds:uri="http://schemas.microsoft.com/office/infopath/2007/PartnerControls"/>
    <ds:schemaRef ds:uri="ec2d4810-de3f-4f12-b27b-d742d4984381"/>
    <ds:schemaRef ds:uri="http://purl.org/dc/elements/1.1/"/>
    <ds:schemaRef ds:uri="http://schemas.microsoft.com/office/2006/metadata/propertie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9</vt:i4>
      </vt:variant>
    </vt:vector>
  </HeadingPairs>
  <TitlesOfParts>
    <vt:vector size="9" baseType="lpstr">
      <vt:lpstr>Nitrogen export</vt:lpstr>
      <vt:lpstr>Nitrogen import</vt:lpstr>
      <vt:lpstr>Nitrogen balance</vt:lpstr>
      <vt:lpstr>5ha farm scenario 1</vt:lpstr>
      <vt:lpstr>5ha farm scenario 2 at year 1</vt:lpstr>
      <vt:lpstr>5ha farm scenario 2 at year 10</vt:lpstr>
      <vt:lpstr>5ha farm scenario 3 at year 10</vt:lpstr>
      <vt:lpstr>Soil nitrate</vt:lpstr>
      <vt:lpstr>5ha farm scenario copy safety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Jule Schwartz</dc:creator>
  <cp:keywords/>
  <dc:description/>
  <cp:lastModifiedBy>Klarien</cp:lastModifiedBy>
  <cp:revision/>
  <dcterms:created xsi:type="dcterms:W3CDTF">2022-04-13T10:35:23Z</dcterms:created>
  <dcterms:modified xsi:type="dcterms:W3CDTF">2022-06-15T20:08:42Z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0x0101007491F3829A932445B8CC7712C4A373EA</vt:lpwstr>
  </property>
</Properties>
</file>